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30" windowWidth="19440" windowHeight="8160"/>
  </bookViews>
  <sheets>
    <sheet name="Hoja1" sheetId="1" r:id="rId1"/>
    <sheet name="Hoja2" sheetId="2" r:id="rId2"/>
    <sheet name="Hoja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7" i="4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AY7"/>
  <c r="AZ7"/>
  <c r="BA7"/>
  <c r="BB7"/>
  <c r="BC7"/>
  <c r="BD7"/>
  <c r="BE7"/>
  <c r="BF7"/>
  <c r="BG7"/>
  <c r="BH7"/>
  <c r="BI7"/>
  <c r="BJ7"/>
  <c r="BK7"/>
  <c r="BL7"/>
  <c r="BM7"/>
  <c r="BN7"/>
  <c r="BO7"/>
  <c r="BP7"/>
  <c r="BQ7"/>
  <c r="BR7"/>
  <c r="BS7"/>
  <c r="BT7"/>
  <c r="BU7"/>
  <c r="BV7"/>
  <c r="BW7"/>
  <c r="BX7"/>
  <c r="BY7"/>
  <c r="BZ7"/>
  <c r="CA7"/>
  <c r="CB7"/>
  <c r="CC7"/>
  <c r="CD7"/>
  <c r="CE7"/>
  <c r="CF7"/>
  <c r="CG7"/>
  <c r="CH7"/>
  <c r="CI7"/>
  <c r="CJ7"/>
  <c r="CK7"/>
  <c r="CL7"/>
  <c r="CM7"/>
  <c r="CN7"/>
  <c r="CO7"/>
  <c r="CP7"/>
  <c r="CQ7"/>
  <c r="CR7"/>
  <c r="CS7"/>
  <c r="CT7"/>
  <c r="CU7"/>
  <c r="CV7"/>
  <c r="CW7"/>
  <c r="CX7"/>
  <c r="CY7"/>
  <c r="CZ7"/>
  <c r="DA7"/>
  <c r="DB7"/>
  <c r="DC7"/>
  <c r="DD7"/>
  <c r="DE7"/>
  <c r="DF7"/>
  <c r="DG7"/>
  <c r="DH7"/>
  <c r="DI7"/>
  <c r="DJ7"/>
  <c r="DK7"/>
  <c r="DL7"/>
  <c r="DM7"/>
  <c r="DN7"/>
  <c r="DO7"/>
  <c r="DP7"/>
  <c r="DQ7"/>
  <c r="DR7"/>
  <c r="DS7"/>
  <c r="DT7"/>
  <c r="DU7"/>
  <c r="DV7"/>
  <c r="DW7"/>
  <c r="DX7"/>
  <c r="DY7"/>
  <c r="DZ7"/>
  <c r="EA7"/>
  <c r="EB7"/>
  <c r="EC7"/>
  <c r="ED7"/>
  <c r="EE7"/>
  <c r="EF7"/>
  <c r="EG7"/>
  <c r="EH7"/>
  <c r="EI7"/>
  <c r="EJ7"/>
  <c r="EK7"/>
  <c r="EL7"/>
  <c r="EM7"/>
  <c r="EN7"/>
  <c r="EO7"/>
  <c r="EP7"/>
  <c r="EQ7"/>
  <c r="ER7"/>
  <c r="ES7"/>
  <c r="A6"/>
  <c r="B6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AG6"/>
  <c r="AH6"/>
  <c r="AI6"/>
  <c r="AJ6"/>
  <c r="AK6"/>
  <c r="AL6"/>
  <c r="AM6"/>
  <c r="AN6"/>
  <c r="AO6"/>
  <c r="AP6"/>
  <c r="AQ6"/>
  <c r="AR6"/>
  <c r="AS6"/>
  <c r="AT6"/>
  <c r="AU6"/>
  <c r="AV6"/>
  <c r="AW6"/>
  <c r="AX6"/>
  <c r="AY6"/>
  <c r="AZ6"/>
  <c r="BA6"/>
  <c r="BB6"/>
  <c r="BC6"/>
  <c r="BD6"/>
  <c r="BE6"/>
  <c r="BF6"/>
  <c r="BG6"/>
  <c r="BH6"/>
  <c r="BI6"/>
  <c r="BJ6"/>
  <c r="BK6"/>
  <c r="BL6"/>
  <c r="BM6"/>
  <c r="BN6"/>
  <c r="BO6"/>
  <c r="BP6"/>
  <c r="BQ6"/>
  <c r="BR6"/>
  <c r="BS6"/>
  <c r="BT6"/>
  <c r="BU6"/>
  <c r="BV6"/>
  <c r="BW6"/>
  <c r="BX6"/>
  <c r="BY6"/>
  <c r="BZ6"/>
  <c r="CA6"/>
  <c r="CB6"/>
  <c r="CC6"/>
  <c r="CD6"/>
  <c r="CE6"/>
  <c r="CF6"/>
  <c r="CG6"/>
  <c r="CH6"/>
  <c r="CI6"/>
  <c r="CJ6"/>
  <c r="CK6"/>
  <c r="CL6"/>
  <c r="CM6"/>
  <c r="CN6"/>
  <c r="CO6"/>
  <c r="CP6"/>
  <c r="CQ6"/>
  <c r="CR6"/>
  <c r="CS6"/>
  <c r="CT6"/>
  <c r="CU6"/>
  <c r="CV6"/>
  <c r="CW6"/>
  <c r="CX6"/>
  <c r="CY6"/>
  <c r="CZ6"/>
  <c r="DA6"/>
  <c r="DB6"/>
  <c r="DC6"/>
  <c r="DD6"/>
  <c r="DE6"/>
  <c r="DF6"/>
  <c r="DG6"/>
  <c r="DH6"/>
  <c r="DI6"/>
  <c r="DJ6"/>
  <c r="DK6"/>
  <c r="DL6"/>
  <c r="DM6"/>
  <c r="DN6"/>
  <c r="DO6"/>
  <c r="DP6"/>
  <c r="DQ6"/>
  <c r="DR6"/>
  <c r="DS6"/>
  <c r="DT6"/>
  <c r="DU6"/>
  <c r="DV6"/>
  <c r="DW6"/>
  <c r="DX6"/>
  <c r="DY6"/>
  <c r="DZ6"/>
  <c r="EA6"/>
  <c r="EB6"/>
  <c r="EC6"/>
  <c r="ED6"/>
  <c r="EE6"/>
  <c r="EF6"/>
  <c r="EG6"/>
  <c r="EH6"/>
  <c r="EI6"/>
  <c r="EJ6"/>
  <c r="EK6"/>
  <c r="EL6"/>
  <c r="EM6"/>
  <c r="EN6"/>
  <c r="EO6"/>
  <c r="EP6"/>
  <c r="EQ6"/>
  <c r="ER6"/>
  <c r="ES6"/>
  <c r="ET6"/>
  <c r="EU6"/>
  <c r="EV6"/>
  <c r="EW6"/>
  <c r="EX6"/>
  <c r="EY6"/>
  <c r="EZ6"/>
  <c r="FA6"/>
  <c r="FB6"/>
  <c r="FC6"/>
  <c r="FD6"/>
  <c r="FE6"/>
  <c r="FF6"/>
  <c r="FG6"/>
  <c r="FH6"/>
  <c r="FI6"/>
  <c r="FJ6"/>
  <c r="FK6"/>
  <c r="FL6"/>
  <c r="FM6"/>
  <c r="FN6"/>
  <c r="FO6"/>
  <c r="FP6"/>
  <c r="FQ6"/>
  <c r="FR6"/>
  <c r="FS6"/>
  <c r="FT6"/>
  <c r="FU6"/>
  <c r="FV6"/>
  <c r="FW6"/>
  <c r="FX6"/>
  <c r="FY6"/>
  <c r="FZ6"/>
  <c r="GA6"/>
  <c r="GB6"/>
  <c r="GC6"/>
  <c r="GD6"/>
  <c r="GE6"/>
  <c r="GF6"/>
  <c r="GG6"/>
  <c r="GH6"/>
  <c r="GI6"/>
  <c r="GJ6"/>
  <c r="GK6"/>
  <c r="GL6"/>
  <c r="GM6"/>
  <c r="GN6"/>
  <c r="GO6"/>
  <c r="GP6"/>
  <c r="GQ6"/>
  <c r="GR6"/>
  <c r="GS6"/>
  <c r="GT6"/>
  <c r="GU6"/>
  <c r="GV6"/>
  <c r="GW6"/>
  <c r="GX6"/>
  <c r="GY6"/>
  <c r="GZ6"/>
  <c r="HA6"/>
  <c r="HB6"/>
  <c r="HC6"/>
  <c r="HD6"/>
  <c r="HE6"/>
  <c r="HF6"/>
  <c r="HG6"/>
  <c r="HH6"/>
  <c r="HI6"/>
  <c r="HJ6"/>
  <c r="HK6"/>
  <c r="HL6"/>
  <c r="HM6"/>
  <c r="HN6"/>
  <c r="HO6"/>
  <c r="HP6"/>
  <c r="HQ6"/>
  <c r="HR6"/>
  <c r="HS6"/>
  <c r="HT6"/>
  <c r="HU6"/>
  <c r="HV6"/>
  <c r="HW6"/>
  <c r="HX6"/>
  <c r="HY6"/>
  <c r="HZ6"/>
  <c r="IA6"/>
  <c r="IB6"/>
  <c r="IC6"/>
  <c r="ID6"/>
  <c r="IE6"/>
  <c r="IF6"/>
  <c r="IG6"/>
  <c r="IH6"/>
  <c r="II6"/>
  <c r="IJ6"/>
  <c r="IK6"/>
  <c r="IL6"/>
  <c r="IM6"/>
  <c r="IN6"/>
  <c r="IO6"/>
  <c r="IP6"/>
  <c r="IQ6"/>
  <c r="IR6"/>
  <c r="IS6"/>
  <c r="IT6"/>
  <c r="IU6"/>
  <c r="IV6"/>
  <c r="A5"/>
  <c r="B5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AG5"/>
  <c r="AH5"/>
  <c r="AI5"/>
  <c r="AJ5"/>
  <c r="AK5"/>
  <c r="AL5"/>
  <c r="AM5"/>
  <c r="AN5"/>
  <c r="AO5"/>
  <c r="AP5"/>
  <c r="AQ5"/>
  <c r="AR5"/>
  <c r="AS5"/>
  <c r="AT5"/>
  <c r="AU5"/>
  <c r="AV5"/>
  <c r="AW5"/>
  <c r="AX5"/>
  <c r="AY5"/>
  <c r="AZ5"/>
  <c r="BA5"/>
  <c r="BB5"/>
  <c r="BC5"/>
  <c r="BD5"/>
  <c r="BE5"/>
  <c r="BF5"/>
  <c r="BG5"/>
  <c r="BH5"/>
  <c r="BI5"/>
  <c r="BJ5"/>
  <c r="BK5"/>
  <c r="BL5"/>
  <c r="BM5"/>
  <c r="BN5"/>
  <c r="BO5"/>
  <c r="BP5"/>
  <c r="BQ5"/>
  <c r="BR5"/>
  <c r="BS5"/>
  <c r="BT5"/>
  <c r="BU5"/>
  <c r="BV5"/>
  <c r="BW5"/>
  <c r="BX5"/>
  <c r="BY5"/>
  <c r="BZ5"/>
  <c r="CA5"/>
  <c r="CB5"/>
  <c r="CC5"/>
  <c r="CD5"/>
  <c r="CE5"/>
  <c r="CF5"/>
  <c r="CG5"/>
  <c r="CH5"/>
  <c r="CI5"/>
  <c r="CJ5"/>
  <c r="CK5"/>
  <c r="CL5"/>
  <c r="CM5"/>
  <c r="CN5"/>
  <c r="CO5"/>
  <c r="CP5"/>
  <c r="CQ5"/>
  <c r="CR5"/>
  <c r="CS5"/>
  <c r="CT5"/>
  <c r="CU5"/>
  <c r="CV5"/>
  <c r="CW5"/>
  <c r="CX5"/>
  <c r="CY5"/>
  <c r="CZ5"/>
  <c r="DA5"/>
  <c r="DB5"/>
  <c r="DC5"/>
  <c r="DD5"/>
  <c r="DE5"/>
  <c r="DF5"/>
  <c r="DG5"/>
  <c r="DH5"/>
  <c r="DI5"/>
  <c r="DJ5"/>
  <c r="DK5"/>
  <c r="DL5"/>
  <c r="DM5"/>
  <c r="DN5"/>
  <c r="DO5"/>
  <c r="DP5"/>
  <c r="DQ5"/>
  <c r="DR5"/>
  <c r="DS5"/>
  <c r="DT5"/>
  <c r="DU5"/>
  <c r="DV5"/>
  <c r="DW5"/>
  <c r="DX5"/>
  <c r="DY5"/>
  <c r="DZ5"/>
  <c r="EA5"/>
  <c r="EB5"/>
  <c r="EC5"/>
  <c r="ED5"/>
  <c r="EE5"/>
  <c r="EF5"/>
  <c r="EG5"/>
  <c r="EH5"/>
  <c r="EI5"/>
  <c r="EJ5"/>
  <c r="EK5"/>
  <c r="EL5"/>
  <c r="EM5"/>
  <c r="EN5"/>
  <c r="EO5"/>
  <c r="EP5"/>
  <c r="EQ5"/>
  <c r="ER5"/>
  <c r="ES5"/>
  <c r="ET5"/>
  <c r="EU5"/>
  <c r="EV5"/>
  <c r="EW5"/>
  <c r="EX5"/>
  <c r="EY5"/>
  <c r="EZ5"/>
  <c r="FA5"/>
  <c r="FB5"/>
  <c r="FC5"/>
  <c r="FD5"/>
  <c r="FE5"/>
  <c r="FF5"/>
  <c r="FG5"/>
  <c r="FH5"/>
  <c r="FI5"/>
  <c r="FJ5"/>
  <c r="FK5"/>
  <c r="FL5"/>
  <c r="FM5"/>
  <c r="FN5"/>
  <c r="FO5"/>
  <c r="FP5"/>
  <c r="FQ5"/>
  <c r="FR5"/>
  <c r="FS5"/>
  <c r="FT5"/>
  <c r="FU5"/>
  <c r="FV5"/>
  <c r="FW5"/>
  <c r="FX5"/>
  <c r="FY5"/>
  <c r="FZ5"/>
  <c r="GA5"/>
  <c r="GB5"/>
  <c r="GC5"/>
  <c r="GD5"/>
  <c r="GE5"/>
  <c r="GF5"/>
  <c r="GG5"/>
  <c r="GH5"/>
  <c r="GI5"/>
  <c r="GJ5"/>
  <c r="GK5"/>
  <c r="GL5"/>
  <c r="GM5"/>
  <c r="GN5"/>
  <c r="GO5"/>
  <c r="GP5"/>
  <c r="GQ5"/>
  <c r="GR5"/>
  <c r="GS5"/>
  <c r="GT5"/>
  <c r="GU5"/>
  <c r="GV5"/>
  <c r="GW5"/>
  <c r="GX5"/>
  <c r="GY5"/>
  <c r="GZ5"/>
  <c r="HA5"/>
  <c r="HB5"/>
  <c r="HC5"/>
  <c r="HD5"/>
  <c r="HE5"/>
  <c r="HF5"/>
  <c r="HG5"/>
  <c r="HH5"/>
  <c r="HI5"/>
  <c r="HJ5"/>
  <c r="HK5"/>
  <c r="HL5"/>
  <c r="HM5"/>
  <c r="HN5"/>
  <c r="HO5"/>
  <c r="HP5"/>
  <c r="HQ5"/>
  <c r="HR5"/>
  <c r="HS5"/>
  <c r="HT5"/>
  <c r="HU5"/>
  <c r="HV5"/>
  <c r="HW5"/>
  <c r="HX5"/>
  <c r="HY5"/>
  <c r="HZ5"/>
  <c r="IA5"/>
  <c r="IB5"/>
  <c r="IC5"/>
  <c r="ID5"/>
  <c r="IE5"/>
  <c r="IF5"/>
  <c r="IG5"/>
  <c r="IH5"/>
  <c r="II5"/>
  <c r="IJ5"/>
  <c r="IK5"/>
  <c r="IL5"/>
  <c r="IM5"/>
  <c r="IN5"/>
  <c r="IO5"/>
  <c r="IP5"/>
  <c r="IQ5"/>
  <c r="IR5"/>
  <c r="IS5"/>
  <c r="IT5"/>
  <c r="IU5"/>
  <c r="IV5"/>
  <c r="A4"/>
  <c r="B4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AG4"/>
  <c r="AH4"/>
  <c r="AI4"/>
  <c r="AJ4"/>
  <c r="AK4"/>
  <c r="AL4"/>
  <c r="AM4"/>
  <c r="AN4"/>
  <c r="AO4"/>
  <c r="AP4"/>
  <c r="AQ4"/>
  <c r="AR4"/>
  <c r="AS4"/>
  <c r="AT4"/>
  <c r="AU4"/>
  <c r="AV4"/>
  <c r="AW4"/>
  <c r="AX4"/>
  <c r="AY4"/>
  <c r="AZ4"/>
  <c r="BA4"/>
  <c r="BB4"/>
  <c r="BC4"/>
  <c r="BD4"/>
  <c r="BE4"/>
  <c r="BF4"/>
  <c r="BG4"/>
  <c r="BH4"/>
  <c r="BI4"/>
  <c r="BJ4"/>
  <c r="BK4"/>
  <c r="BL4"/>
  <c r="BM4"/>
  <c r="BN4"/>
  <c r="BO4"/>
  <c r="BP4"/>
  <c r="BQ4"/>
  <c r="BR4"/>
  <c r="BS4"/>
  <c r="BT4"/>
  <c r="BU4"/>
  <c r="BV4"/>
  <c r="BW4"/>
  <c r="BX4"/>
  <c r="BY4"/>
  <c r="BZ4"/>
  <c r="CA4"/>
  <c r="CB4"/>
  <c r="CC4"/>
  <c r="CD4"/>
  <c r="CE4"/>
  <c r="CF4"/>
  <c r="CG4"/>
  <c r="CH4"/>
  <c r="CI4"/>
  <c r="CJ4"/>
  <c r="CK4"/>
  <c r="CL4"/>
  <c r="CM4"/>
  <c r="CN4"/>
  <c r="CO4"/>
  <c r="CP4"/>
  <c r="CQ4"/>
  <c r="CR4"/>
  <c r="CS4"/>
  <c r="CT4"/>
  <c r="CU4"/>
  <c r="CV4"/>
  <c r="CW4"/>
  <c r="CX4"/>
  <c r="CY4"/>
  <c r="CZ4"/>
  <c r="DA4"/>
  <c r="DB4"/>
  <c r="DC4"/>
  <c r="DD4"/>
  <c r="DE4"/>
  <c r="DF4"/>
  <c r="DG4"/>
  <c r="DH4"/>
  <c r="DI4"/>
  <c r="DJ4"/>
  <c r="DK4"/>
  <c r="DL4"/>
  <c r="DM4"/>
  <c r="DN4"/>
  <c r="DO4"/>
  <c r="DP4"/>
  <c r="DQ4"/>
  <c r="DR4"/>
  <c r="DS4"/>
  <c r="DT4"/>
  <c r="DU4"/>
  <c r="DV4"/>
  <c r="DW4"/>
  <c r="DX4"/>
  <c r="DY4"/>
  <c r="DZ4"/>
  <c r="EA4"/>
  <c r="EB4"/>
  <c r="EC4"/>
  <c r="ED4"/>
  <c r="EE4"/>
  <c r="EF4"/>
  <c r="EG4"/>
  <c r="EH4"/>
  <c r="EI4"/>
  <c r="EJ4"/>
  <c r="EK4"/>
  <c r="EL4"/>
  <c r="EM4"/>
  <c r="EN4"/>
  <c r="EO4"/>
  <c r="EP4"/>
  <c r="EQ4"/>
  <c r="ER4"/>
  <c r="ES4"/>
  <c r="ET4"/>
  <c r="EU4"/>
  <c r="EV4"/>
  <c r="EW4"/>
  <c r="EX4"/>
  <c r="EY4"/>
  <c r="EZ4"/>
  <c r="FA4"/>
  <c r="FB4"/>
  <c r="FC4"/>
  <c r="FD4"/>
  <c r="FE4"/>
  <c r="FF4"/>
  <c r="FG4"/>
  <c r="FH4"/>
  <c r="FI4"/>
  <c r="FJ4"/>
  <c r="FK4"/>
  <c r="FL4"/>
  <c r="FM4"/>
  <c r="FN4"/>
  <c r="FO4"/>
  <c r="FP4"/>
  <c r="FQ4"/>
  <c r="FR4"/>
  <c r="FS4"/>
  <c r="FT4"/>
  <c r="FU4"/>
  <c r="FV4"/>
  <c r="FW4"/>
  <c r="FX4"/>
  <c r="FY4"/>
  <c r="FZ4"/>
  <c r="GA4"/>
  <c r="GB4"/>
  <c r="GC4"/>
  <c r="GD4"/>
  <c r="GE4"/>
  <c r="GF4"/>
  <c r="GG4"/>
  <c r="GH4"/>
  <c r="GI4"/>
  <c r="GJ4"/>
  <c r="GK4"/>
  <c r="GL4"/>
  <c r="GM4"/>
  <c r="GN4"/>
  <c r="GO4"/>
  <c r="GP4"/>
  <c r="GQ4"/>
  <c r="GR4"/>
  <c r="GS4"/>
  <c r="GT4"/>
  <c r="GU4"/>
  <c r="GV4"/>
  <c r="GW4"/>
  <c r="GX4"/>
  <c r="GY4"/>
  <c r="GZ4"/>
  <c r="HA4"/>
  <c r="HB4"/>
  <c r="HC4"/>
  <c r="HD4"/>
  <c r="HE4"/>
  <c r="HF4"/>
  <c r="HG4"/>
  <c r="HH4"/>
  <c r="HI4"/>
  <c r="HJ4"/>
  <c r="HK4"/>
  <c r="HL4"/>
  <c r="HM4"/>
  <c r="HN4"/>
  <c r="HO4"/>
  <c r="HP4"/>
  <c r="HQ4"/>
  <c r="HR4"/>
  <c r="HS4"/>
  <c r="HT4"/>
  <c r="HU4"/>
  <c r="HV4"/>
  <c r="HW4"/>
  <c r="HX4"/>
  <c r="HY4"/>
  <c r="HZ4"/>
  <c r="IA4"/>
  <c r="IB4"/>
  <c r="IC4"/>
  <c r="ID4"/>
  <c r="IE4"/>
  <c r="IF4"/>
  <c r="IG4"/>
  <c r="IH4"/>
  <c r="II4"/>
  <c r="IJ4"/>
  <c r="IK4"/>
  <c r="IL4"/>
  <c r="IM4"/>
  <c r="IN4"/>
  <c r="IO4"/>
  <c r="IP4"/>
  <c r="IQ4"/>
  <c r="IR4"/>
  <c r="IS4"/>
  <c r="IT4"/>
  <c r="IU4"/>
  <c r="IV4"/>
  <c r="A3"/>
  <c r="B3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AG3"/>
  <c r="AH3"/>
  <c r="AI3"/>
  <c r="AJ3"/>
  <c r="AK3"/>
  <c r="AL3"/>
  <c r="AM3"/>
  <c r="AN3"/>
  <c r="AO3"/>
  <c r="AP3"/>
  <c r="AQ3"/>
  <c r="AR3"/>
  <c r="AS3"/>
  <c r="AT3"/>
  <c r="AU3"/>
  <c r="AV3"/>
  <c r="AW3"/>
  <c r="AX3"/>
  <c r="AY3"/>
  <c r="AZ3"/>
  <c r="BA3"/>
  <c r="BB3"/>
  <c r="BC3"/>
  <c r="BD3"/>
  <c r="BE3"/>
  <c r="BF3"/>
  <c r="BG3"/>
  <c r="BH3"/>
  <c r="BI3"/>
  <c r="BJ3"/>
  <c r="BK3"/>
  <c r="BL3"/>
  <c r="BM3"/>
  <c r="BN3"/>
  <c r="BO3"/>
  <c r="BP3"/>
  <c r="BQ3"/>
  <c r="BR3"/>
  <c r="BS3"/>
  <c r="BT3"/>
  <c r="BU3"/>
  <c r="BV3"/>
  <c r="BW3"/>
  <c r="BX3"/>
  <c r="BY3"/>
  <c r="BZ3"/>
  <c r="CA3"/>
  <c r="CB3"/>
  <c r="CC3"/>
  <c r="CD3"/>
  <c r="CE3"/>
  <c r="CF3"/>
  <c r="CG3"/>
  <c r="CH3"/>
  <c r="CI3"/>
  <c r="CJ3"/>
  <c r="CK3"/>
  <c r="CL3"/>
  <c r="CM3"/>
  <c r="CN3"/>
  <c r="CO3"/>
  <c r="CP3"/>
  <c r="CQ3"/>
  <c r="CR3"/>
  <c r="CS3"/>
  <c r="CT3"/>
  <c r="CU3"/>
  <c r="CV3"/>
  <c r="CW3"/>
  <c r="CX3"/>
  <c r="CY3"/>
  <c r="CZ3"/>
  <c r="DA3"/>
  <c r="DB3"/>
  <c r="DC3"/>
  <c r="DD3"/>
  <c r="DE3"/>
  <c r="DF3"/>
  <c r="DG3"/>
  <c r="DH3"/>
  <c r="DI3"/>
  <c r="DJ3"/>
  <c r="DK3"/>
  <c r="DL3"/>
  <c r="DM3"/>
  <c r="DN3"/>
  <c r="DO3"/>
  <c r="DP3"/>
  <c r="DQ3"/>
  <c r="DR3"/>
  <c r="DS3"/>
  <c r="DT3"/>
  <c r="DU3"/>
  <c r="DV3"/>
  <c r="DW3"/>
  <c r="DX3"/>
  <c r="DY3"/>
  <c r="DZ3"/>
  <c r="EA3"/>
  <c r="EB3"/>
  <c r="EC3"/>
  <c r="ED3"/>
  <c r="EE3"/>
  <c r="EF3"/>
  <c r="EG3"/>
  <c r="EH3"/>
  <c r="EI3"/>
  <c r="EJ3"/>
  <c r="EK3"/>
  <c r="EL3"/>
  <c r="EM3"/>
  <c r="EN3"/>
  <c r="EO3"/>
  <c r="EP3"/>
  <c r="EQ3"/>
  <c r="ER3"/>
  <c r="ES3"/>
  <c r="ET3"/>
  <c r="EU3"/>
  <c r="EV3"/>
  <c r="EW3"/>
  <c r="EX3"/>
  <c r="EY3"/>
  <c r="EZ3"/>
  <c r="FA3"/>
  <c r="FB3"/>
  <c r="FC3"/>
  <c r="FD3"/>
  <c r="FE3"/>
  <c r="FF3"/>
  <c r="FG3"/>
  <c r="FH3"/>
  <c r="FI3"/>
  <c r="FJ3"/>
  <c r="FK3"/>
  <c r="FL3"/>
  <c r="FM3"/>
  <c r="FN3"/>
  <c r="FO3"/>
  <c r="FP3"/>
  <c r="FQ3"/>
  <c r="FR3"/>
  <c r="FS3"/>
  <c r="FT3"/>
  <c r="FU3"/>
  <c r="FV3"/>
  <c r="FW3"/>
  <c r="FX3"/>
  <c r="FY3"/>
  <c r="FZ3"/>
  <c r="GA3"/>
  <c r="GB3"/>
  <c r="GC3"/>
  <c r="GD3"/>
  <c r="GE3"/>
  <c r="GF3"/>
  <c r="GG3"/>
  <c r="GH3"/>
  <c r="GI3"/>
  <c r="GJ3"/>
  <c r="GK3"/>
  <c r="GL3"/>
  <c r="GM3"/>
  <c r="GN3"/>
  <c r="GO3"/>
  <c r="GP3"/>
  <c r="GQ3"/>
  <c r="GR3"/>
  <c r="GS3"/>
  <c r="GT3"/>
  <c r="GU3"/>
  <c r="GV3"/>
  <c r="GW3"/>
  <c r="GX3"/>
  <c r="GY3"/>
  <c r="GZ3"/>
  <c r="HA3"/>
  <c r="HB3"/>
  <c r="HC3"/>
  <c r="HD3"/>
  <c r="HE3"/>
  <c r="HF3"/>
  <c r="HG3"/>
  <c r="HH3"/>
  <c r="HI3"/>
  <c r="HJ3"/>
  <c r="HK3"/>
  <c r="HL3"/>
  <c r="HM3"/>
  <c r="HN3"/>
  <c r="HO3"/>
  <c r="HP3"/>
  <c r="HQ3"/>
  <c r="HR3"/>
  <c r="HS3"/>
  <c r="HT3"/>
  <c r="HU3"/>
  <c r="HV3"/>
  <c r="HW3"/>
  <c r="HX3"/>
  <c r="HY3"/>
  <c r="HZ3"/>
  <c r="IA3"/>
  <c r="IB3"/>
  <c r="IC3"/>
  <c r="ID3"/>
  <c r="IE3"/>
  <c r="IF3"/>
  <c r="IG3"/>
  <c r="IH3"/>
  <c r="II3"/>
  <c r="IJ3"/>
  <c r="IK3"/>
  <c r="IL3"/>
  <c r="IM3"/>
  <c r="IN3"/>
  <c r="IO3"/>
  <c r="IP3"/>
  <c r="IQ3"/>
  <c r="IR3"/>
  <c r="IS3"/>
  <c r="IT3"/>
  <c r="IU3"/>
  <c r="IV3"/>
  <c r="A2"/>
  <c r="B2"/>
  <c r="C2"/>
  <c r="D2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Y2"/>
  <c r="Z2"/>
  <c r="AA2"/>
  <c r="AB2"/>
  <c r="AC2"/>
  <c r="AD2"/>
  <c r="AE2"/>
  <c r="AF2"/>
  <c r="AG2"/>
  <c r="AH2"/>
  <c r="AI2"/>
  <c r="AJ2"/>
  <c r="AK2"/>
  <c r="AL2"/>
  <c r="AM2"/>
  <c r="AN2"/>
  <c r="AO2"/>
  <c r="AP2"/>
  <c r="AQ2"/>
  <c r="AR2"/>
  <c r="AS2"/>
  <c r="AT2"/>
  <c r="AU2"/>
  <c r="AV2"/>
  <c r="AW2"/>
  <c r="AX2"/>
  <c r="AY2"/>
  <c r="AZ2"/>
  <c r="BA2"/>
  <c r="BB2"/>
  <c r="BC2"/>
  <c r="BD2"/>
  <c r="BE2"/>
  <c r="BF2"/>
  <c r="BG2"/>
  <c r="BH2"/>
  <c r="BI2"/>
  <c r="BJ2"/>
  <c r="BK2"/>
  <c r="BL2"/>
  <c r="BM2"/>
  <c r="BN2"/>
  <c r="BO2"/>
  <c r="BP2"/>
  <c r="BQ2"/>
  <c r="BR2"/>
  <c r="BS2"/>
  <c r="BT2"/>
  <c r="BU2"/>
  <c r="BV2"/>
  <c r="BW2"/>
  <c r="BX2"/>
  <c r="BY2"/>
  <c r="BZ2"/>
  <c r="CA2"/>
  <c r="CB2"/>
  <c r="CC2"/>
  <c r="CD2"/>
  <c r="CE2"/>
  <c r="CF2"/>
  <c r="CG2"/>
  <c r="CH2"/>
  <c r="CI2"/>
  <c r="CJ2"/>
  <c r="CK2"/>
  <c r="CL2"/>
  <c r="CM2"/>
  <c r="CN2"/>
  <c r="CO2"/>
  <c r="CP2"/>
  <c r="CQ2"/>
  <c r="CR2"/>
  <c r="CS2"/>
  <c r="CT2"/>
  <c r="CU2"/>
  <c r="CV2"/>
  <c r="CW2"/>
  <c r="CX2"/>
  <c r="CY2"/>
  <c r="CZ2"/>
  <c r="DA2"/>
  <c r="DB2"/>
  <c r="DC2"/>
  <c r="DD2"/>
  <c r="DE2"/>
  <c r="DF2"/>
  <c r="DG2"/>
  <c r="DH2"/>
  <c r="DI2"/>
  <c r="DJ2"/>
  <c r="DK2"/>
  <c r="DL2"/>
  <c r="DM2"/>
  <c r="DN2"/>
  <c r="DO2"/>
  <c r="DP2"/>
  <c r="DQ2"/>
  <c r="DR2"/>
  <c r="DS2"/>
  <c r="DT2"/>
  <c r="DU2"/>
  <c r="DV2"/>
  <c r="DW2"/>
  <c r="DX2"/>
  <c r="DY2"/>
  <c r="DZ2"/>
  <c r="EA2"/>
  <c r="EB2"/>
  <c r="EC2"/>
  <c r="ED2"/>
  <c r="EE2"/>
  <c r="EF2"/>
  <c r="EG2"/>
  <c r="EH2"/>
  <c r="EI2"/>
  <c r="EJ2"/>
  <c r="EK2"/>
  <c r="EL2"/>
  <c r="EM2"/>
  <c r="EN2"/>
  <c r="EO2"/>
  <c r="EP2"/>
  <c r="EQ2"/>
  <c r="ER2"/>
  <c r="ES2"/>
  <c r="ET2"/>
  <c r="EU2"/>
  <c r="EV2"/>
  <c r="EW2"/>
  <c r="EX2"/>
  <c r="EY2"/>
  <c r="EZ2"/>
  <c r="FA2"/>
  <c r="FB2"/>
  <c r="FC2"/>
  <c r="FD2"/>
  <c r="FE2"/>
  <c r="FF2"/>
  <c r="FG2"/>
  <c r="FH2"/>
  <c r="FI2"/>
  <c r="FJ2"/>
  <c r="FK2"/>
  <c r="FL2"/>
  <c r="FM2"/>
  <c r="FN2"/>
  <c r="FO2"/>
  <c r="FP2"/>
  <c r="FQ2"/>
  <c r="FR2"/>
  <c r="FS2"/>
  <c r="FT2"/>
  <c r="FU2"/>
  <c r="FV2"/>
  <c r="FW2"/>
  <c r="FX2"/>
  <c r="FY2"/>
  <c r="FZ2"/>
  <c r="GA2"/>
  <c r="GB2"/>
  <c r="GC2"/>
  <c r="GD2"/>
  <c r="GE2"/>
  <c r="GF2"/>
  <c r="GG2"/>
  <c r="GH2"/>
  <c r="GI2"/>
  <c r="GJ2"/>
  <c r="GK2"/>
  <c r="GL2"/>
  <c r="GM2"/>
  <c r="GN2"/>
  <c r="GO2"/>
  <c r="GP2"/>
  <c r="GQ2"/>
  <c r="GR2"/>
  <c r="GS2"/>
  <c r="GT2"/>
  <c r="GU2"/>
  <c r="GV2"/>
  <c r="GW2"/>
  <c r="GX2"/>
  <c r="GY2"/>
  <c r="GZ2"/>
  <c r="HA2"/>
  <c r="HB2"/>
  <c r="HC2"/>
  <c r="HD2"/>
  <c r="HE2"/>
  <c r="HF2"/>
  <c r="HG2"/>
  <c r="HH2"/>
  <c r="HI2"/>
  <c r="HJ2"/>
  <c r="HK2"/>
  <c r="HL2"/>
  <c r="HM2"/>
  <c r="HN2"/>
  <c r="HO2"/>
  <c r="HP2"/>
  <c r="HQ2"/>
  <c r="HR2"/>
  <c r="HS2"/>
  <c r="HT2"/>
  <c r="HU2"/>
  <c r="HV2"/>
  <c r="HW2"/>
  <c r="HX2"/>
  <c r="HY2"/>
  <c r="HZ2"/>
  <c r="IA2"/>
  <c r="IB2"/>
  <c r="IC2"/>
  <c r="ID2"/>
  <c r="IE2"/>
  <c r="IF2"/>
  <c r="IG2"/>
  <c r="IH2"/>
  <c r="II2"/>
  <c r="IJ2"/>
  <c r="IK2"/>
  <c r="IL2"/>
  <c r="IM2"/>
  <c r="IN2"/>
  <c r="IO2"/>
  <c r="IP2"/>
  <c r="IQ2"/>
  <c r="IR2"/>
  <c r="IS2"/>
  <c r="IT2"/>
  <c r="IU2"/>
  <c r="IV2"/>
  <c r="A1"/>
  <c r="B1"/>
  <c r="C1"/>
  <c r="D1"/>
  <c r="E1"/>
  <c r="F1"/>
  <c r="G1"/>
  <c r="H1"/>
  <c r="I1"/>
  <c r="J1"/>
  <c r="K1"/>
  <c r="L1"/>
  <c r="M1"/>
  <c r="N1"/>
  <c r="O1"/>
  <c r="P1"/>
  <c r="Q1"/>
  <c r="R1"/>
  <c r="S1"/>
  <c r="T1"/>
  <c r="U1"/>
  <c r="V1"/>
  <c r="W1"/>
  <c r="X1"/>
  <c r="Y1"/>
  <c r="Z1"/>
  <c r="AA1"/>
  <c r="AB1"/>
  <c r="AC1"/>
  <c r="AD1"/>
  <c r="AE1"/>
  <c r="AF1"/>
  <c r="AG1"/>
  <c r="AH1"/>
  <c r="AI1"/>
  <c r="AJ1"/>
  <c r="AK1"/>
  <c r="AL1"/>
  <c r="AM1"/>
  <c r="AN1"/>
  <c r="AO1"/>
  <c r="AP1"/>
  <c r="AQ1"/>
  <c r="AR1"/>
  <c r="AS1"/>
  <c r="AT1"/>
  <c r="AU1"/>
  <c r="AV1"/>
  <c r="AW1"/>
  <c r="AX1"/>
  <c r="AY1"/>
  <c r="AZ1"/>
  <c r="BA1"/>
  <c r="BB1"/>
  <c r="BC1"/>
  <c r="BD1"/>
  <c r="BE1"/>
  <c r="BF1"/>
  <c r="BG1"/>
  <c r="BH1"/>
  <c r="BI1"/>
  <c r="BJ1"/>
  <c r="BK1"/>
  <c r="BL1"/>
  <c r="BM1"/>
  <c r="BN1"/>
  <c r="BO1"/>
  <c r="BP1"/>
  <c r="BQ1"/>
  <c r="BR1"/>
  <c r="BS1"/>
  <c r="BT1"/>
  <c r="BU1"/>
  <c r="BV1"/>
  <c r="BW1"/>
  <c r="BX1"/>
  <c r="BY1"/>
  <c r="BZ1"/>
  <c r="CA1"/>
  <c r="CB1"/>
  <c r="CC1"/>
  <c r="CD1"/>
  <c r="CE1"/>
  <c r="CF1"/>
  <c r="CG1"/>
  <c r="CH1"/>
  <c r="CI1"/>
  <c r="CJ1"/>
  <c r="CK1"/>
  <c r="CL1"/>
  <c r="CM1"/>
  <c r="CN1"/>
  <c r="CO1"/>
  <c r="CP1"/>
  <c r="CQ1"/>
  <c r="CR1"/>
  <c r="CS1"/>
  <c r="CT1"/>
  <c r="CU1"/>
  <c r="CV1"/>
  <c r="CW1"/>
  <c r="CX1"/>
  <c r="CY1"/>
  <c r="CZ1"/>
  <c r="DA1"/>
  <c r="DB1"/>
  <c r="DC1"/>
  <c r="DD1"/>
  <c r="DE1"/>
  <c r="DF1"/>
  <c r="DG1"/>
  <c r="DH1"/>
  <c r="DI1"/>
  <c r="DJ1"/>
  <c r="DK1"/>
  <c r="DL1"/>
  <c r="DM1"/>
  <c r="DN1"/>
  <c r="DO1"/>
  <c r="DP1"/>
  <c r="DQ1"/>
  <c r="DR1"/>
  <c r="DS1"/>
  <c r="DT1"/>
  <c r="DU1"/>
  <c r="DV1"/>
  <c r="DW1"/>
  <c r="DX1"/>
  <c r="DY1"/>
  <c r="DZ1"/>
  <c r="EA1"/>
  <c r="EB1"/>
  <c r="EC1"/>
  <c r="ED1"/>
  <c r="EE1"/>
  <c r="EF1"/>
  <c r="EG1"/>
  <c r="EH1"/>
  <c r="EI1"/>
  <c r="EJ1"/>
  <c r="EK1"/>
  <c r="EL1"/>
  <c r="EM1"/>
  <c r="EN1"/>
  <c r="EO1"/>
  <c r="EP1"/>
  <c r="EQ1"/>
  <c r="ER1"/>
  <c r="ES1"/>
  <c r="ET1"/>
  <c r="EU1"/>
  <c r="EV1"/>
  <c r="EW1"/>
  <c r="EX1"/>
  <c r="EY1"/>
  <c r="EZ1"/>
  <c r="FA1"/>
  <c r="FB1"/>
  <c r="FC1"/>
  <c r="FD1"/>
  <c r="FE1"/>
  <c r="FF1"/>
  <c r="FG1"/>
  <c r="FH1"/>
  <c r="FI1"/>
  <c r="FJ1"/>
  <c r="FK1"/>
  <c r="FL1"/>
  <c r="FM1"/>
  <c r="FN1"/>
  <c r="FO1"/>
  <c r="FP1"/>
  <c r="FQ1"/>
  <c r="FR1"/>
  <c r="FS1"/>
  <c r="FT1"/>
  <c r="FU1"/>
  <c r="FV1"/>
  <c r="FW1"/>
  <c r="FX1"/>
  <c r="FY1"/>
  <c r="FZ1"/>
  <c r="GA1"/>
  <c r="GB1"/>
  <c r="GC1"/>
  <c r="GD1"/>
  <c r="GE1"/>
  <c r="GF1"/>
  <c r="GG1"/>
  <c r="GH1"/>
  <c r="GI1"/>
  <c r="GJ1"/>
  <c r="GK1"/>
  <c r="GL1"/>
  <c r="GM1"/>
  <c r="GN1"/>
  <c r="GO1"/>
  <c r="GP1"/>
  <c r="GQ1"/>
  <c r="GR1"/>
  <c r="GS1"/>
  <c r="GT1"/>
  <c r="GU1"/>
  <c r="GV1"/>
  <c r="GW1"/>
  <c r="GX1"/>
  <c r="GY1"/>
  <c r="GZ1"/>
  <c r="HA1"/>
  <c r="HB1"/>
  <c r="HC1"/>
  <c r="HD1"/>
  <c r="HE1"/>
  <c r="HF1"/>
  <c r="HG1"/>
  <c r="HH1"/>
  <c r="HI1"/>
  <c r="HJ1"/>
  <c r="HK1"/>
  <c r="HL1"/>
  <c r="HM1"/>
  <c r="HN1"/>
  <c r="HO1"/>
  <c r="HP1"/>
  <c r="HQ1"/>
  <c r="HR1"/>
  <c r="HS1"/>
  <c r="HT1"/>
  <c r="HU1"/>
  <c r="HV1"/>
  <c r="HW1"/>
  <c r="HX1"/>
  <c r="HY1"/>
  <c r="HZ1"/>
  <c r="IA1"/>
  <c r="IB1"/>
  <c r="IC1"/>
  <c r="ID1"/>
  <c r="IE1"/>
  <c r="IF1"/>
  <c r="IG1"/>
  <c r="IH1"/>
  <c r="II1"/>
  <c r="IJ1"/>
  <c r="IK1"/>
  <c r="IL1"/>
  <c r="IM1"/>
  <c r="IN1"/>
  <c r="IO1"/>
  <c r="IP1"/>
  <c r="IQ1"/>
  <c r="IR1"/>
  <c r="IS1"/>
  <c r="IT1"/>
  <c r="IU1"/>
  <c r="IV1"/>
</calcChain>
</file>

<file path=xl/sharedStrings.xml><?xml version="1.0" encoding="utf-8"?>
<sst xmlns="http://schemas.openxmlformats.org/spreadsheetml/2006/main" count="35" uniqueCount="34">
  <si>
    <t>FR 1  Alumnos con bajo rendimiento acadèmico.</t>
  </si>
  <si>
    <t>Nombre del Alumno:</t>
  </si>
  <si>
    <t>Gdo. Y Gpo.:</t>
  </si>
  <si>
    <t>No. De Lista:</t>
  </si>
  <si>
    <t>Turno</t>
  </si>
  <si>
    <t>Asignatura:</t>
  </si>
  <si>
    <t>Calificaciòn</t>
  </si>
  <si>
    <t>Perìodo:</t>
  </si>
  <si>
    <t>Nombre del Docente:</t>
  </si>
  <si>
    <t>NOTA: Estimado Profesor (a) no debe dejar ningùn espacio en blanco.</t>
  </si>
  <si>
    <t>aprendizaje y el de sus compañeros</t>
  </si>
  <si>
    <t xml:space="preserve">                  Actitudes manifestadas por el alumno en clase que obstaculizan su</t>
  </si>
  <si>
    <t>Hàbitos Escolares</t>
  </si>
  <si>
    <t>Comportamiento del alumno en el cumplimiento de tareas y trabajos de clase.</t>
  </si>
  <si>
    <t>de pertenencias escolares.</t>
  </si>
  <si>
    <t xml:space="preserve">                    Actuaciòn del alumno en la presentaciòn personal y en el manejo</t>
  </si>
  <si>
    <t>a superar su deficiencia.</t>
  </si>
  <si>
    <t xml:space="preserve">          Problema detectado en el que se puede intervenir para ayudar al alumno </t>
  </si>
  <si>
    <t xml:space="preserve">             Estrategias establecidas por el docente para</t>
  </si>
  <si>
    <t>¿Què hace el docente para apoyar al alumno (a)?</t>
  </si>
  <si>
    <t>alumno (a)  para corregir sus deficiencias.</t>
  </si>
  <si>
    <t xml:space="preserve">            Compromisos establecidos con el</t>
  </si>
  <si>
    <t xml:space="preserve">  ayudar al alumno.</t>
  </si>
  <si>
    <t xml:space="preserve">     ¿Què compromisos hace el alumno (a)</t>
  </si>
  <si>
    <t>para mejorar su aprovechamiento?</t>
  </si>
  <si>
    <t>mejorar en su situaciòn escolar.</t>
  </si>
  <si>
    <t xml:space="preserve">                Compromisos establecidos por el Padre de familia o Tutor para ayudar a su pupilo para</t>
  </si>
  <si>
    <t>Fecha:</t>
  </si>
  <si>
    <t>Firma del Padre o Tutor</t>
  </si>
  <si>
    <t>Firma del Maestro (a)</t>
  </si>
  <si>
    <t>Situaciòn escolar del Alumno (a)</t>
  </si>
  <si>
    <t>Firma del Tutor (a)</t>
  </si>
  <si>
    <t>Firma del Alumno (a)</t>
  </si>
  <si>
    <t>AAAAAFqd95U=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</si>
</sst>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100983</xdr:colOff>
      <xdr:row>0</xdr:row>
      <xdr:rowOff>33618</xdr:rowOff>
    </xdr:from>
    <xdr:to>
      <xdr:col>1</xdr:col>
      <xdr:colOff>333355</xdr:colOff>
      <xdr:row>3</xdr:row>
      <xdr:rowOff>45265</xdr:rowOff>
    </xdr:to>
    <xdr:pic>
      <xdr:nvPicPr>
        <xdr:cNvPr id="3" name="2 Imagen" descr="ESCUDO Mixta # 3 2009-2010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0983" y="33618"/>
          <a:ext cx="613372" cy="684000"/>
        </a:xfrm>
        <a:prstGeom prst="rect">
          <a:avLst/>
        </a:prstGeom>
      </xdr:spPr>
    </xdr:pic>
    <xdr:clientData/>
  </xdr:twoCellAnchor>
  <xdr:twoCellAnchor editAs="oneCell">
    <xdr:from>
      <xdr:col>23</xdr:col>
      <xdr:colOff>302563</xdr:colOff>
      <xdr:row>0</xdr:row>
      <xdr:rowOff>112058</xdr:rowOff>
    </xdr:from>
    <xdr:to>
      <xdr:col>28</xdr:col>
      <xdr:colOff>160971</xdr:colOff>
      <xdr:row>2</xdr:row>
      <xdr:rowOff>95823</xdr:rowOff>
    </xdr:to>
    <xdr:pic>
      <xdr:nvPicPr>
        <xdr:cNvPr id="4" name="3 Imagen" descr="2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065563" y="112058"/>
          <a:ext cx="1763408" cy="43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AC55"/>
  <sheetViews>
    <sheetView tabSelected="1" zoomScale="85" zoomScaleNormal="85" workbookViewId="0">
      <selection sqref="A1:AC1"/>
    </sheetView>
  </sheetViews>
  <sheetFormatPr baseColWidth="10" defaultColWidth="5.7109375" defaultRowHeight="18" customHeight="1"/>
  <cols>
    <col min="1" max="16384" width="5.7109375" style="1"/>
  </cols>
  <sheetData>
    <row r="1" spans="1:29" ht="18" customHeight="1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spans="1:29" ht="18" customHeight="1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spans="1:29" ht="18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29" ht="18" customHeight="1">
      <c r="A4" s="17" t="s">
        <v>1</v>
      </c>
      <c r="B4" s="17"/>
      <c r="C4" s="17"/>
      <c r="D4" s="17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17" t="s">
        <v>2</v>
      </c>
      <c r="T4" s="17"/>
      <c r="U4" s="5"/>
      <c r="V4" s="5"/>
      <c r="W4" s="9" t="s">
        <v>3</v>
      </c>
      <c r="X4" s="9"/>
      <c r="Y4" s="5"/>
      <c r="Z4" s="5"/>
      <c r="AA4" s="1" t="s">
        <v>4</v>
      </c>
      <c r="AB4" s="5"/>
      <c r="AC4" s="5"/>
    </row>
    <row r="5" spans="1:29" ht="18" customHeight="1">
      <c r="A5" s="17" t="s">
        <v>5</v>
      </c>
      <c r="B5" s="17"/>
      <c r="C5" s="5"/>
      <c r="D5" s="5"/>
      <c r="E5" s="5"/>
      <c r="F5" s="5"/>
      <c r="G5" s="5"/>
      <c r="H5" s="5"/>
      <c r="J5" s="17" t="s">
        <v>6</v>
      </c>
      <c r="K5" s="17"/>
      <c r="L5" s="5"/>
      <c r="M5" s="5"/>
      <c r="N5" s="5"/>
      <c r="P5" s="41" t="s">
        <v>7</v>
      </c>
      <c r="Q5" s="41"/>
      <c r="R5" s="5"/>
      <c r="S5" s="5"/>
      <c r="T5" s="5"/>
    </row>
    <row r="6" spans="1:29" ht="18" customHeight="1">
      <c r="A6" s="17" t="s">
        <v>8</v>
      </c>
      <c r="B6" s="17"/>
      <c r="C6" s="17"/>
      <c r="D6" s="17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29" ht="18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</row>
    <row r="8" spans="1:29" ht="18" customHeight="1" thickBot="1">
      <c r="A8" s="17" t="s">
        <v>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</row>
    <row r="9" spans="1:29" ht="18" customHeight="1">
      <c r="A9" s="35" t="s">
        <v>12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7"/>
      <c r="N9" s="10" t="s">
        <v>18</v>
      </c>
      <c r="O9" s="11"/>
      <c r="P9" s="11"/>
      <c r="Q9" s="11"/>
      <c r="R9" s="11"/>
      <c r="S9" s="11"/>
      <c r="T9" s="11"/>
      <c r="U9" s="11"/>
      <c r="V9" s="12"/>
      <c r="W9" s="10" t="s">
        <v>21</v>
      </c>
      <c r="X9" s="11"/>
      <c r="Y9" s="11"/>
      <c r="Z9" s="11"/>
      <c r="AA9" s="11"/>
      <c r="AB9" s="11"/>
      <c r="AC9" s="12"/>
    </row>
    <row r="10" spans="1:29" ht="18" customHeight="1" thickBot="1">
      <c r="A10" s="38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40"/>
      <c r="N10" s="21" t="s">
        <v>22</v>
      </c>
      <c r="O10" s="22"/>
      <c r="P10" s="22"/>
      <c r="Q10" s="22"/>
      <c r="R10" s="22"/>
      <c r="S10" s="22"/>
      <c r="T10" s="22"/>
      <c r="U10" s="22"/>
      <c r="V10" s="23"/>
      <c r="W10" s="21" t="s">
        <v>20</v>
      </c>
      <c r="X10" s="22"/>
      <c r="Y10" s="22"/>
      <c r="Z10" s="22"/>
      <c r="AA10" s="22"/>
      <c r="AB10" s="22"/>
      <c r="AC10" s="23"/>
    </row>
    <row r="11" spans="1:29" ht="18" customHeight="1">
      <c r="A11" s="10" t="s">
        <v>11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2"/>
      <c r="N11" s="33" t="s">
        <v>19</v>
      </c>
      <c r="O11" s="34"/>
      <c r="P11" s="34"/>
      <c r="Q11" s="34"/>
      <c r="R11" s="34"/>
      <c r="S11" s="34"/>
      <c r="T11" s="34"/>
      <c r="U11" s="34"/>
      <c r="V11" s="34"/>
      <c r="W11" s="13" t="s">
        <v>23</v>
      </c>
      <c r="X11" s="6"/>
      <c r="Y11" s="6"/>
      <c r="Z11" s="6"/>
      <c r="AA11" s="6"/>
      <c r="AB11" s="6"/>
      <c r="AC11" s="14"/>
    </row>
    <row r="12" spans="1:29" ht="18" customHeight="1">
      <c r="A12" s="13" t="s">
        <v>10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14"/>
      <c r="N12" s="17"/>
      <c r="O12" s="17"/>
      <c r="P12" s="17"/>
      <c r="Q12" s="17"/>
      <c r="R12" s="17"/>
      <c r="S12" s="17"/>
      <c r="T12" s="17"/>
      <c r="U12" s="17"/>
      <c r="V12" s="17"/>
      <c r="W12" s="13" t="s">
        <v>24</v>
      </c>
      <c r="X12" s="6"/>
      <c r="Y12" s="6"/>
      <c r="Z12" s="6"/>
      <c r="AA12" s="6"/>
      <c r="AB12" s="6"/>
      <c r="AC12" s="14"/>
    </row>
    <row r="13" spans="1:29" ht="18" customHeight="1">
      <c r="A13" s="1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16"/>
      <c r="N13" s="15"/>
      <c r="O13" s="5"/>
      <c r="P13" s="5"/>
      <c r="Q13" s="5"/>
      <c r="R13" s="5"/>
      <c r="S13" s="5"/>
      <c r="T13" s="5"/>
      <c r="U13" s="5"/>
      <c r="V13" s="5"/>
      <c r="W13" s="13"/>
      <c r="X13" s="6"/>
      <c r="Y13" s="6"/>
      <c r="Z13" s="6"/>
      <c r="AA13" s="6"/>
      <c r="AB13" s="6"/>
      <c r="AC13" s="14"/>
    </row>
    <row r="14" spans="1:29" ht="18" customHeight="1">
      <c r="A14" s="24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25"/>
      <c r="N14" s="24"/>
      <c r="O14" s="7"/>
      <c r="P14" s="7"/>
      <c r="Q14" s="7"/>
      <c r="R14" s="7"/>
      <c r="S14" s="7"/>
      <c r="T14" s="7"/>
      <c r="U14" s="7"/>
      <c r="V14" s="7"/>
      <c r="W14" s="15"/>
      <c r="X14" s="5"/>
      <c r="Y14" s="5"/>
      <c r="Z14" s="5"/>
      <c r="AA14" s="5"/>
      <c r="AB14" s="5"/>
      <c r="AC14" s="16"/>
    </row>
    <row r="15" spans="1:29" ht="18" customHeight="1">
      <c r="A15" s="24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25"/>
      <c r="N15" s="24"/>
      <c r="O15" s="7"/>
      <c r="P15" s="7"/>
      <c r="Q15" s="7"/>
      <c r="R15" s="7"/>
      <c r="S15" s="7"/>
      <c r="T15" s="7"/>
      <c r="U15" s="7"/>
      <c r="V15" s="7"/>
      <c r="W15" s="24"/>
      <c r="X15" s="7"/>
      <c r="Y15" s="7"/>
      <c r="Z15" s="7"/>
      <c r="AA15" s="7"/>
      <c r="AB15" s="7"/>
      <c r="AC15" s="25"/>
    </row>
    <row r="16" spans="1:29" ht="18" customHeight="1">
      <c r="A16" s="13" t="s">
        <v>13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14"/>
      <c r="N16" s="24"/>
      <c r="O16" s="7"/>
      <c r="P16" s="7"/>
      <c r="Q16" s="7"/>
      <c r="R16" s="7"/>
      <c r="S16" s="7"/>
      <c r="T16" s="7"/>
      <c r="U16" s="7"/>
      <c r="V16" s="7"/>
      <c r="W16" s="24"/>
      <c r="X16" s="7"/>
      <c r="Y16" s="7"/>
      <c r="Z16" s="7"/>
      <c r="AA16" s="7"/>
      <c r="AB16" s="7"/>
      <c r="AC16" s="25"/>
    </row>
    <row r="17" spans="1:29" ht="18" customHeight="1">
      <c r="A17" s="13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14"/>
      <c r="N17" s="24"/>
      <c r="O17" s="7"/>
      <c r="P17" s="7"/>
      <c r="Q17" s="7"/>
      <c r="R17" s="7"/>
      <c r="S17" s="7"/>
      <c r="T17" s="7"/>
      <c r="U17" s="7"/>
      <c r="V17" s="7"/>
      <c r="W17" s="24"/>
      <c r="X17" s="7"/>
      <c r="Y17" s="7"/>
      <c r="Z17" s="7"/>
      <c r="AA17" s="7"/>
      <c r="AB17" s="7"/>
      <c r="AC17" s="25"/>
    </row>
    <row r="18" spans="1:29" ht="18" customHeight="1">
      <c r="A18" s="24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25"/>
      <c r="N18" s="24"/>
      <c r="O18" s="7"/>
      <c r="P18" s="7"/>
      <c r="Q18" s="7"/>
      <c r="R18" s="7"/>
      <c r="S18" s="7"/>
      <c r="T18" s="7"/>
      <c r="U18" s="7"/>
      <c r="V18" s="7"/>
      <c r="W18" s="24"/>
      <c r="X18" s="7"/>
      <c r="Y18" s="7"/>
      <c r="Z18" s="7"/>
      <c r="AA18" s="7"/>
      <c r="AB18" s="7"/>
      <c r="AC18" s="25"/>
    </row>
    <row r="19" spans="1:29" ht="18" customHeight="1">
      <c r="A19" s="24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25"/>
      <c r="N19" s="24"/>
      <c r="O19" s="7"/>
      <c r="P19" s="7"/>
      <c r="Q19" s="7"/>
      <c r="R19" s="7"/>
      <c r="S19" s="7"/>
      <c r="T19" s="7"/>
      <c r="U19" s="7"/>
      <c r="V19" s="7"/>
      <c r="W19" s="24"/>
      <c r="X19" s="7"/>
      <c r="Y19" s="7"/>
      <c r="Z19" s="7"/>
      <c r="AA19" s="7"/>
      <c r="AB19" s="7"/>
      <c r="AC19" s="25"/>
    </row>
    <row r="20" spans="1:29" ht="18" customHeight="1">
      <c r="A20" s="13" t="s">
        <v>15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14"/>
      <c r="N20" s="24"/>
      <c r="O20" s="7"/>
      <c r="P20" s="7"/>
      <c r="Q20" s="7"/>
      <c r="R20" s="7"/>
      <c r="S20" s="7"/>
      <c r="T20" s="7"/>
      <c r="U20" s="7"/>
      <c r="V20" s="7"/>
      <c r="W20" s="24"/>
      <c r="X20" s="7"/>
      <c r="Y20" s="7"/>
      <c r="Z20" s="7"/>
      <c r="AA20" s="7"/>
      <c r="AB20" s="7"/>
      <c r="AC20" s="25"/>
    </row>
    <row r="21" spans="1:29" ht="18" customHeight="1">
      <c r="A21" s="13" t="s">
        <v>14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14"/>
      <c r="N21" s="24"/>
      <c r="O21" s="7"/>
      <c r="P21" s="7"/>
      <c r="Q21" s="7"/>
      <c r="R21" s="7"/>
      <c r="S21" s="7"/>
      <c r="T21" s="7"/>
      <c r="U21" s="7"/>
      <c r="V21" s="7"/>
      <c r="W21" s="24"/>
      <c r="X21" s="7"/>
      <c r="Y21" s="7"/>
      <c r="Z21" s="7"/>
      <c r="AA21" s="7"/>
      <c r="AB21" s="7"/>
      <c r="AC21" s="25"/>
    </row>
    <row r="22" spans="1:29" ht="18" customHeight="1">
      <c r="A22" s="1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16"/>
      <c r="N22" s="24"/>
      <c r="O22" s="7"/>
      <c r="P22" s="7"/>
      <c r="Q22" s="7"/>
      <c r="R22" s="7"/>
      <c r="S22" s="7"/>
      <c r="T22" s="7"/>
      <c r="U22" s="7"/>
      <c r="V22" s="7"/>
      <c r="W22" s="24"/>
      <c r="X22" s="7"/>
      <c r="Y22" s="7"/>
      <c r="Z22" s="7"/>
      <c r="AA22" s="7"/>
      <c r="AB22" s="7"/>
      <c r="AC22" s="25"/>
    </row>
    <row r="23" spans="1:29" ht="18" customHeight="1">
      <c r="A23" s="24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25"/>
      <c r="N23" s="24"/>
      <c r="O23" s="7"/>
      <c r="P23" s="7"/>
      <c r="Q23" s="7"/>
      <c r="R23" s="7"/>
      <c r="S23" s="7"/>
      <c r="T23" s="7"/>
      <c r="U23" s="7"/>
      <c r="V23" s="7"/>
      <c r="W23" s="24"/>
      <c r="X23" s="7"/>
      <c r="Y23" s="7"/>
      <c r="Z23" s="7"/>
      <c r="AA23" s="7"/>
      <c r="AB23" s="7"/>
      <c r="AC23" s="25"/>
    </row>
    <row r="24" spans="1:29" ht="18" customHeight="1" thickBot="1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1"/>
      <c r="N24" s="17"/>
      <c r="O24" s="17"/>
      <c r="P24" s="17"/>
      <c r="Q24" s="17"/>
      <c r="R24" s="17"/>
      <c r="S24" s="17"/>
      <c r="T24" s="17"/>
      <c r="U24" s="17"/>
      <c r="V24" s="17"/>
      <c r="W24" s="21"/>
      <c r="X24" s="22"/>
      <c r="Y24" s="22"/>
      <c r="Z24" s="22"/>
      <c r="AA24" s="22"/>
      <c r="AB24" s="22"/>
      <c r="AC24" s="23"/>
    </row>
    <row r="25" spans="1:29" ht="18" customHeight="1">
      <c r="A25" s="10" t="s">
        <v>17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2"/>
      <c r="N25" s="10" t="s">
        <v>26</v>
      </c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2"/>
    </row>
    <row r="26" spans="1:29" ht="18" customHeight="1">
      <c r="A26" s="13" t="s">
        <v>16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14"/>
      <c r="N26" s="13" t="s">
        <v>25</v>
      </c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14"/>
    </row>
    <row r="27" spans="1:29" ht="18" customHeight="1">
      <c r="A27" s="13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14"/>
      <c r="N27" s="1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16"/>
    </row>
    <row r="28" spans="1:29" ht="18" customHeight="1">
      <c r="A28" s="29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1"/>
      <c r="N28" s="24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25"/>
    </row>
    <row r="29" spans="1:29" ht="18" customHeight="1" thickBot="1">
      <c r="A29" s="26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8"/>
      <c r="N29" s="26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8"/>
    </row>
    <row r="30" spans="1:29" ht="18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ht="18" customHeight="1">
      <c r="A31" s="2"/>
      <c r="B31" s="8"/>
      <c r="C31" s="8"/>
      <c r="D31" s="8"/>
      <c r="E31" s="8"/>
      <c r="F31" s="8"/>
      <c r="G31" s="8"/>
      <c r="H31" s="8"/>
      <c r="I31" s="8"/>
      <c r="J31" s="2"/>
      <c r="K31" s="2"/>
      <c r="L31" s="8"/>
      <c r="M31" s="8"/>
      <c r="N31" s="8"/>
      <c r="O31" s="8"/>
      <c r="P31" s="8"/>
      <c r="Q31" s="8"/>
      <c r="R31" s="8"/>
      <c r="S31" s="8"/>
      <c r="T31" s="2"/>
      <c r="U31" s="2"/>
      <c r="V31" s="8"/>
      <c r="W31" s="8"/>
      <c r="X31" s="8"/>
      <c r="Y31" s="8"/>
      <c r="Z31" s="8"/>
      <c r="AA31" s="8"/>
      <c r="AB31" s="8"/>
      <c r="AC31" s="2"/>
    </row>
    <row r="32" spans="1:29" ht="18" customHeight="1">
      <c r="A32" s="2"/>
      <c r="B32" s="32" t="s">
        <v>29</v>
      </c>
      <c r="C32" s="32"/>
      <c r="D32" s="32"/>
      <c r="E32" s="32"/>
      <c r="F32" s="32"/>
      <c r="G32" s="32"/>
      <c r="H32" s="32"/>
      <c r="I32" s="32"/>
      <c r="J32" s="2"/>
      <c r="K32" s="2"/>
      <c r="L32" s="32" t="s">
        <v>31</v>
      </c>
      <c r="M32" s="32"/>
      <c r="N32" s="32"/>
      <c r="O32" s="32"/>
      <c r="P32" s="32"/>
      <c r="Q32" s="32"/>
      <c r="R32" s="32"/>
      <c r="S32" s="32"/>
      <c r="T32" s="2"/>
      <c r="U32" s="2"/>
      <c r="V32" s="32" t="s">
        <v>32</v>
      </c>
      <c r="W32" s="32"/>
      <c r="X32" s="32"/>
      <c r="Y32" s="32"/>
      <c r="Z32" s="32"/>
      <c r="AA32" s="32"/>
      <c r="AB32" s="32"/>
      <c r="AC32" s="2"/>
    </row>
    <row r="33" spans="1:29" ht="24.95" customHeight="1" thickBot="1"/>
    <row r="34" spans="1:29" ht="24.95" customHeight="1" thickBot="1">
      <c r="A34" s="18" t="s">
        <v>27</v>
      </c>
      <c r="B34" s="19"/>
      <c r="C34" s="20"/>
      <c r="D34" s="3"/>
      <c r="E34" s="18" t="s">
        <v>30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T34" s="18" t="s">
        <v>28</v>
      </c>
      <c r="U34" s="19"/>
      <c r="V34" s="19"/>
      <c r="W34" s="20"/>
      <c r="Z34" s="18" t="s">
        <v>29</v>
      </c>
      <c r="AA34" s="19"/>
      <c r="AB34" s="19"/>
      <c r="AC34" s="20"/>
    </row>
    <row r="35" spans="1:29" ht="24.95" customHeight="1"/>
    <row r="36" spans="1:29" ht="24.95" customHeight="1">
      <c r="A36" s="8"/>
      <c r="B36" s="8"/>
      <c r="C36" s="8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T36" s="6"/>
      <c r="U36" s="6"/>
      <c r="V36" s="6"/>
      <c r="W36" s="6"/>
      <c r="X36" s="4"/>
      <c r="Y36" s="4"/>
      <c r="Z36" s="6"/>
      <c r="AA36" s="6"/>
      <c r="AB36" s="6"/>
      <c r="AC36" s="6"/>
    </row>
    <row r="37" spans="1:29" ht="24.95" customHeight="1">
      <c r="A37" s="9"/>
      <c r="B37" s="9"/>
      <c r="C37" s="9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T37" s="5"/>
      <c r="U37" s="5"/>
      <c r="V37" s="5"/>
      <c r="W37" s="5"/>
      <c r="Z37" s="5"/>
      <c r="AA37" s="5"/>
      <c r="AB37" s="5"/>
      <c r="AC37" s="5"/>
    </row>
    <row r="38" spans="1:29" ht="24.95" customHeight="1">
      <c r="A38" s="8"/>
      <c r="B38" s="8"/>
      <c r="C38" s="8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T38" s="6"/>
      <c r="U38" s="6"/>
      <c r="V38" s="6"/>
      <c r="W38" s="6"/>
      <c r="X38" s="4"/>
      <c r="Y38" s="4"/>
      <c r="Z38" s="6"/>
      <c r="AA38" s="6"/>
      <c r="AB38" s="6"/>
      <c r="AC38" s="6"/>
    </row>
    <row r="39" spans="1:29" ht="24.95" customHeight="1">
      <c r="A39" s="9"/>
      <c r="B39" s="9"/>
      <c r="C39" s="9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T39" s="5"/>
      <c r="U39" s="5"/>
      <c r="V39" s="5"/>
      <c r="W39" s="5"/>
      <c r="Z39" s="5"/>
      <c r="AA39" s="5"/>
      <c r="AB39" s="5"/>
      <c r="AC39" s="5"/>
    </row>
    <row r="40" spans="1:29" ht="24.95" customHeight="1">
      <c r="A40" s="8"/>
      <c r="B40" s="8"/>
      <c r="C40" s="8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T40" s="6"/>
      <c r="U40" s="6"/>
      <c r="V40" s="6"/>
      <c r="W40" s="6"/>
      <c r="X40" s="4"/>
      <c r="Y40" s="4"/>
      <c r="Z40" s="6"/>
      <c r="AA40" s="6"/>
      <c r="AB40" s="6"/>
      <c r="AC40" s="6"/>
    </row>
    <row r="41" spans="1:29" ht="24.95" customHeight="1">
      <c r="A41" s="9"/>
      <c r="B41" s="9"/>
      <c r="C41" s="9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T41" s="5"/>
      <c r="U41" s="5"/>
      <c r="V41" s="5"/>
      <c r="W41" s="5"/>
      <c r="Z41" s="5"/>
      <c r="AA41" s="5"/>
      <c r="AB41" s="5"/>
      <c r="AC41" s="5"/>
    </row>
    <row r="42" spans="1:29" ht="24.95" customHeight="1">
      <c r="A42" s="8"/>
      <c r="B42" s="8"/>
      <c r="C42" s="8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T42" s="6"/>
      <c r="U42" s="6"/>
      <c r="V42" s="6"/>
      <c r="W42" s="6"/>
      <c r="X42" s="4"/>
      <c r="Y42" s="4"/>
      <c r="Z42" s="6"/>
      <c r="AA42" s="6"/>
      <c r="AB42" s="6"/>
      <c r="AC42" s="6"/>
    </row>
    <row r="43" spans="1:29" ht="24.95" customHeight="1">
      <c r="A43" s="9"/>
      <c r="B43" s="9"/>
      <c r="C43" s="9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T43" s="5"/>
      <c r="U43" s="5"/>
      <c r="V43" s="5"/>
      <c r="W43" s="5"/>
      <c r="Z43" s="5"/>
      <c r="AA43" s="5"/>
      <c r="AB43" s="5"/>
      <c r="AC43" s="5"/>
    </row>
    <row r="44" spans="1:29" ht="24.95" customHeight="1">
      <c r="A44" s="8"/>
      <c r="B44" s="8"/>
      <c r="C44" s="8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T44" s="6"/>
      <c r="U44" s="6"/>
      <c r="V44" s="6"/>
      <c r="W44" s="6"/>
      <c r="X44" s="4"/>
      <c r="Y44" s="4"/>
      <c r="Z44" s="6"/>
      <c r="AA44" s="6"/>
      <c r="AB44" s="6"/>
      <c r="AC44" s="6"/>
    </row>
    <row r="45" spans="1:29" ht="24.95" customHeight="1">
      <c r="A45" s="9"/>
      <c r="B45" s="9"/>
      <c r="C45" s="9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T45" s="5"/>
      <c r="U45" s="5"/>
      <c r="V45" s="5"/>
      <c r="W45" s="5"/>
      <c r="Z45" s="5"/>
      <c r="AA45" s="5"/>
      <c r="AB45" s="5"/>
      <c r="AC45" s="5"/>
    </row>
    <row r="46" spans="1:29" ht="24.95" customHeight="1">
      <c r="A46" s="8"/>
      <c r="B46" s="8"/>
      <c r="C46" s="8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T46" s="6"/>
      <c r="U46" s="6"/>
      <c r="V46" s="6"/>
      <c r="W46" s="6"/>
      <c r="X46" s="4"/>
      <c r="Y46" s="4"/>
      <c r="Z46" s="6"/>
      <c r="AA46" s="6"/>
      <c r="AB46" s="6"/>
      <c r="AC46" s="6"/>
    </row>
    <row r="47" spans="1:29" ht="24.95" customHeight="1">
      <c r="A47" s="9"/>
      <c r="B47" s="9"/>
      <c r="C47" s="9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T47" s="5"/>
      <c r="U47" s="5"/>
      <c r="V47" s="5"/>
      <c r="W47" s="5"/>
      <c r="Z47" s="5"/>
      <c r="AA47" s="5"/>
      <c r="AB47" s="5"/>
      <c r="AC47" s="5"/>
    </row>
    <row r="48" spans="1:29" ht="24.95" customHeight="1">
      <c r="A48" s="8"/>
      <c r="B48" s="8"/>
      <c r="C48" s="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T48" s="6"/>
      <c r="U48" s="6"/>
      <c r="V48" s="6"/>
      <c r="W48" s="6"/>
      <c r="X48" s="4"/>
      <c r="Y48" s="4"/>
      <c r="Z48" s="6"/>
      <c r="AA48" s="6"/>
      <c r="AB48" s="6"/>
      <c r="AC48" s="6"/>
    </row>
    <row r="49" spans="1:29" ht="24.95" customHeight="1">
      <c r="A49" s="9"/>
      <c r="B49" s="9"/>
      <c r="C49" s="9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T49" s="5"/>
      <c r="U49" s="5"/>
      <c r="V49" s="5"/>
      <c r="W49" s="5"/>
      <c r="Z49" s="5"/>
      <c r="AA49" s="5"/>
      <c r="AB49" s="5"/>
      <c r="AC49" s="5"/>
    </row>
    <row r="50" spans="1:29" ht="24.95" customHeight="1">
      <c r="A50" s="8"/>
      <c r="B50" s="8"/>
      <c r="C50" s="8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T50" s="6"/>
      <c r="U50" s="6"/>
      <c r="V50" s="6"/>
      <c r="W50" s="6"/>
      <c r="X50" s="4"/>
      <c r="Y50" s="4"/>
      <c r="Z50" s="6"/>
      <c r="AA50" s="6"/>
      <c r="AB50" s="6"/>
      <c r="AC50" s="6"/>
    </row>
    <row r="51" spans="1:29" ht="24.95" customHeight="1">
      <c r="A51" s="9"/>
      <c r="B51" s="9"/>
      <c r="C51" s="9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T51" s="5"/>
      <c r="U51" s="5"/>
      <c r="V51" s="5"/>
      <c r="W51" s="5"/>
      <c r="Z51" s="5"/>
      <c r="AA51" s="5"/>
      <c r="AB51" s="5"/>
      <c r="AC51" s="5"/>
    </row>
    <row r="52" spans="1:29" ht="24.95" customHeight="1">
      <c r="A52" s="8"/>
      <c r="B52" s="8"/>
      <c r="C52" s="8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T52" s="6"/>
      <c r="U52" s="6"/>
      <c r="V52" s="6"/>
      <c r="W52" s="6"/>
      <c r="X52" s="4"/>
      <c r="Y52" s="4"/>
      <c r="Z52" s="6"/>
      <c r="AA52" s="6"/>
      <c r="AB52" s="6"/>
      <c r="AC52" s="6"/>
    </row>
    <row r="53" spans="1:29" ht="24.95" customHeight="1">
      <c r="A53" s="9"/>
      <c r="B53" s="9"/>
      <c r="C53" s="9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T53" s="5"/>
      <c r="U53" s="5"/>
      <c r="V53" s="5"/>
      <c r="W53" s="5"/>
      <c r="Z53" s="5"/>
      <c r="AA53" s="5"/>
      <c r="AB53" s="5"/>
      <c r="AC53" s="5"/>
    </row>
    <row r="54" spans="1:29" ht="24.95" customHeight="1">
      <c r="A54" s="8"/>
      <c r="B54" s="8"/>
      <c r="C54" s="8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T54" s="6"/>
      <c r="U54" s="6"/>
      <c r="V54" s="6"/>
      <c r="W54" s="6"/>
      <c r="X54" s="4"/>
      <c r="Y54" s="4"/>
      <c r="Z54" s="6"/>
      <c r="AA54" s="6"/>
      <c r="AB54" s="6"/>
      <c r="AC54" s="6"/>
    </row>
    <row r="55" spans="1:29" ht="24.95" customHeight="1">
      <c r="A55" s="9"/>
      <c r="B55" s="9"/>
      <c r="C55" s="9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T55" s="5"/>
      <c r="U55" s="5"/>
      <c r="V55" s="5"/>
      <c r="W55" s="5"/>
      <c r="Z55" s="5"/>
      <c r="AA55" s="5"/>
      <c r="AB55" s="5"/>
      <c r="AC55" s="5"/>
    </row>
  </sheetData>
  <mergeCells count="167">
    <mergeCell ref="A2:AC2"/>
    <mergeCell ref="A4:D4"/>
    <mergeCell ref="E4:R4"/>
    <mergeCell ref="S4:T4"/>
    <mergeCell ref="U4:V4"/>
    <mergeCell ref="W4:X4"/>
    <mergeCell ref="Y4:Z4"/>
    <mergeCell ref="AB4:AC4"/>
    <mergeCell ref="B31:I31"/>
    <mergeCell ref="L31:S31"/>
    <mergeCell ref="V31:AB31"/>
    <mergeCell ref="A6:D6"/>
    <mergeCell ref="E6:R6"/>
    <mergeCell ref="A3:AC3"/>
    <mergeCell ref="A5:B5"/>
    <mergeCell ref="C5:H5"/>
    <mergeCell ref="J5:K5"/>
    <mergeCell ref="L5:N5"/>
    <mergeCell ref="P5:Q5"/>
    <mergeCell ref="R5:T5"/>
    <mergeCell ref="W9:AC9"/>
    <mergeCell ref="W10:AC10"/>
    <mergeCell ref="W11:AC11"/>
    <mergeCell ref="W12:AC12"/>
    <mergeCell ref="A1:AC1"/>
    <mergeCell ref="N10:V10"/>
    <mergeCell ref="N11:V11"/>
    <mergeCell ref="N12:V12"/>
    <mergeCell ref="N13:V13"/>
    <mergeCell ref="A9:M10"/>
    <mergeCell ref="N9:V9"/>
    <mergeCell ref="A24:M24"/>
    <mergeCell ref="A25:M25"/>
    <mergeCell ref="A18:M18"/>
    <mergeCell ref="A19:M19"/>
    <mergeCell ref="A20:M20"/>
    <mergeCell ref="A21:M21"/>
    <mergeCell ref="A22:M22"/>
    <mergeCell ref="A23:M23"/>
    <mergeCell ref="A13:M13"/>
    <mergeCell ref="A14:M14"/>
    <mergeCell ref="A15:M15"/>
    <mergeCell ref="A16:M16"/>
    <mergeCell ref="A17:M17"/>
    <mergeCell ref="A8:L8"/>
    <mergeCell ref="A7:AC7"/>
    <mergeCell ref="A11:M11"/>
    <mergeCell ref="A12:M12"/>
    <mergeCell ref="W13:AC13"/>
    <mergeCell ref="N20:V20"/>
    <mergeCell ref="N21:V21"/>
    <mergeCell ref="N22:V22"/>
    <mergeCell ref="N23:V23"/>
    <mergeCell ref="N14:V14"/>
    <mergeCell ref="N15:V15"/>
    <mergeCell ref="N16:V16"/>
    <mergeCell ref="N17:V17"/>
    <mergeCell ref="N18:V18"/>
    <mergeCell ref="N19:V19"/>
    <mergeCell ref="W14:AC14"/>
    <mergeCell ref="W15:AC15"/>
    <mergeCell ref="W16:AC16"/>
    <mergeCell ref="W17:AC17"/>
    <mergeCell ref="W18:AC18"/>
    <mergeCell ref="W19:AC19"/>
    <mergeCell ref="W20:AC20"/>
    <mergeCell ref="W21:AC21"/>
    <mergeCell ref="W22:AC22"/>
    <mergeCell ref="W23:AC23"/>
    <mergeCell ref="N25:AC25"/>
    <mergeCell ref="N26:AC26"/>
    <mergeCell ref="N27:AC27"/>
    <mergeCell ref="N24:V24"/>
    <mergeCell ref="T34:W34"/>
    <mergeCell ref="Z34:AC34"/>
    <mergeCell ref="A36:C36"/>
    <mergeCell ref="A37:C37"/>
    <mergeCell ref="T36:W36"/>
    <mergeCell ref="T37:W37"/>
    <mergeCell ref="W24:AC24"/>
    <mergeCell ref="N28:AC28"/>
    <mergeCell ref="N29:AC29"/>
    <mergeCell ref="A26:M26"/>
    <mergeCell ref="A27:M27"/>
    <mergeCell ref="A28:M28"/>
    <mergeCell ref="A29:M29"/>
    <mergeCell ref="B32:I32"/>
    <mergeCell ref="L32:S32"/>
    <mergeCell ref="V32:AB32"/>
    <mergeCell ref="E34:Q34"/>
    <mergeCell ref="E36:Q36"/>
    <mergeCell ref="E37:Q37"/>
    <mergeCell ref="A34:C34"/>
    <mergeCell ref="A52:C52"/>
    <mergeCell ref="A53:C53"/>
    <mergeCell ref="A54:C54"/>
    <mergeCell ref="A55:C55"/>
    <mergeCell ref="A44:C44"/>
    <mergeCell ref="A45:C45"/>
    <mergeCell ref="A46:C46"/>
    <mergeCell ref="A47:C47"/>
    <mergeCell ref="A48:C48"/>
    <mergeCell ref="A49:C49"/>
    <mergeCell ref="E38:Q38"/>
    <mergeCell ref="E39:Q39"/>
    <mergeCell ref="E40:Q40"/>
    <mergeCell ref="E41:Q41"/>
    <mergeCell ref="A50:C50"/>
    <mergeCell ref="A51:C51"/>
    <mergeCell ref="A38:C38"/>
    <mergeCell ref="A39:C39"/>
    <mergeCell ref="A40:C40"/>
    <mergeCell ref="A41:C41"/>
    <mergeCell ref="A42:C42"/>
    <mergeCell ref="A43:C43"/>
    <mergeCell ref="E54:Q54"/>
    <mergeCell ref="E55:Q55"/>
    <mergeCell ref="E48:Q48"/>
    <mergeCell ref="E49:Q49"/>
    <mergeCell ref="E50:Q50"/>
    <mergeCell ref="E51:Q51"/>
    <mergeCell ref="E52:Q52"/>
    <mergeCell ref="E53:Q53"/>
    <mergeCell ref="E42:Q42"/>
    <mergeCell ref="E43:Q43"/>
    <mergeCell ref="E44:Q44"/>
    <mergeCell ref="E45:Q45"/>
    <mergeCell ref="E46:Q46"/>
    <mergeCell ref="E47:Q47"/>
    <mergeCell ref="T52:W52"/>
    <mergeCell ref="T53:W53"/>
    <mergeCell ref="T54:W54"/>
    <mergeCell ref="T55:W55"/>
    <mergeCell ref="T44:W44"/>
    <mergeCell ref="T45:W45"/>
    <mergeCell ref="T46:W46"/>
    <mergeCell ref="T47:W47"/>
    <mergeCell ref="T48:W48"/>
    <mergeCell ref="T49:W49"/>
    <mergeCell ref="Z36:AC36"/>
    <mergeCell ref="Z37:AC37"/>
    <mergeCell ref="Z38:AC38"/>
    <mergeCell ref="Z39:AC39"/>
    <mergeCell ref="Z40:AC40"/>
    <mergeCell ref="Z41:AC41"/>
    <mergeCell ref="Z42:AC42"/>
    <mergeCell ref="T50:W50"/>
    <mergeCell ref="T51:W51"/>
    <mergeCell ref="T38:W38"/>
    <mergeCell ref="T39:W39"/>
    <mergeCell ref="T40:W40"/>
    <mergeCell ref="T41:W41"/>
    <mergeCell ref="T42:W42"/>
    <mergeCell ref="T43:W43"/>
    <mergeCell ref="Z55:AC55"/>
    <mergeCell ref="Z49:AC49"/>
    <mergeCell ref="Z50:AC50"/>
    <mergeCell ref="Z51:AC51"/>
    <mergeCell ref="Z52:AC52"/>
    <mergeCell ref="Z53:AC53"/>
    <mergeCell ref="Z54:AC54"/>
    <mergeCell ref="Z43:AC43"/>
    <mergeCell ref="Z44:AC44"/>
    <mergeCell ref="Z45:AC45"/>
    <mergeCell ref="Z46:AC46"/>
    <mergeCell ref="Z47:AC47"/>
    <mergeCell ref="Z48:AC48"/>
  </mergeCells>
  <pageMargins left="0.23622047244094488" right="0.23622047244094488" top="0.3543307086614173" bottom="0.3543307086614173" header="0.31496062992125984" footer="0.31496062992125984"/>
  <pageSetup paperSize="5" orientation="landscape" verticalDpi="0" r:id="rId1"/>
  <customProperties>
    <customPr name="DVSECTION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/>
  <dimension ref="A1"/>
  <sheetViews>
    <sheetView workbookViewId="0"/>
  </sheetViews>
  <sheetFormatPr baseColWidth="10" defaultRowHeight="1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"/>
  <dimension ref="A1"/>
  <sheetViews>
    <sheetView workbookViewId="0"/>
  </sheetViews>
  <sheetFormatPr baseColWidth="10" defaultRowHeight="1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4"/>
  <dimension ref="A1:IV7"/>
  <sheetViews>
    <sheetView workbookViewId="0">
      <selection activeCell="ET7" sqref="ET7"/>
    </sheetView>
  </sheetViews>
  <sheetFormatPr baseColWidth="10" defaultRowHeight="15"/>
  <sheetData>
    <row r="1" spans="1:256">
      <c r="A1">
        <f>IF(Hoja1!1:1,"AAAAAHuf8QA=",0)</f>
        <v>0</v>
      </c>
      <c r="B1" t="e">
        <f>AND(Hoja1!A1,"AAAAAHuf8QE=")</f>
        <v>#VALUE!</v>
      </c>
      <c r="C1" t="e">
        <f>AND(Hoja1!B1,"AAAAAHuf8QI=")</f>
        <v>#VALUE!</v>
      </c>
      <c r="D1" t="e">
        <f>AND(Hoja1!C1,"AAAAAHuf8QM=")</f>
        <v>#VALUE!</v>
      </c>
      <c r="E1" t="e">
        <f>AND(Hoja1!D1,"AAAAAHuf8QQ=")</f>
        <v>#VALUE!</v>
      </c>
      <c r="F1" t="e">
        <f>AND(Hoja1!E1,"AAAAAHuf8QU=")</f>
        <v>#VALUE!</v>
      </c>
      <c r="G1" t="e">
        <f>AND(Hoja1!F1,"AAAAAHuf8QY=")</f>
        <v>#VALUE!</v>
      </c>
      <c r="H1" t="e">
        <f>AND(Hoja1!G1,"AAAAAHuf8Qc=")</f>
        <v>#VALUE!</v>
      </c>
      <c r="I1" t="e">
        <f>AND(Hoja1!H1,"AAAAAHuf8Qg=")</f>
        <v>#VALUE!</v>
      </c>
      <c r="J1" t="e">
        <f>AND(Hoja1!I1,"AAAAAHuf8Qk=")</f>
        <v>#VALUE!</v>
      </c>
      <c r="K1" t="e">
        <f>AND(Hoja1!J1,"AAAAAHuf8Qo=")</f>
        <v>#VALUE!</v>
      </c>
      <c r="L1" t="e">
        <f>AND(Hoja1!K1,"AAAAAHuf8Qs=")</f>
        <v>#VALUE!</v>
      </c>
      <c r="M1" t="e">
        <f>AND(Hoja1!L1,"AAAAAHuf8Qw=")</f>
        <v>#VALUE!</v>
      </c>
      <c r="N1" t="e">
        <f>AND(Hoja1!M1,"AAAAAHuf8Q0=")</f>
        <v>#VALUE!</v>
      </c>
      <c r="O1" t="e">
        <f>AND(Hoja1!N1,"AAAAAHuf8Q4=")</f>
        <v>#VALUE!</v>
      </c>
      <c r="P1" t="e">
        <f>AND(Hoja1!O1,"AAAAAHuf8Q8=")</f>
        <v>#VALUE!</v>
      </c>
      <c r="Q1" t="e">
        <f>AND(Hoja1!P1,"AAAAAHuf8RA=")</f>
        <v>#VALUE!</v>
      </c>
      <c r="R1" t="e">
        <f>AND(Hoja1!Q1,"AAAAAHuf8RE=")</f>
        <v>#VALUE!</v>
      </c>
      <c r="S1" t="e">
        <f>AND(Hoja1!R1,"AAAAAHuf8RI=")</f>
        <v>#VALUE!</v>
      </c>
      <c r="T1" t="e">
        <f>AND(Hoja1!S1,"AAAAAHuf8RM=")</f>
        <v>#VALUE!</v>
      </c>
      <c r="U1" t="e">
        <f>AND(Hoja1!T1,"AAAAAHuf8RQ=")</f>
        <v>#VALUE!</v>
      </c>
      <c r="V1" t="e">
        <f>AND(Hoja1!U1,"AAAAAHuf8RU=")</f>
        <v>#VALUE!</v>
      </c>
      <c r="W1" t="e">
        <f>AND(Hoja1!V1,"AAAAAHuf8RY=")</f>
        <v>#VALUE!</v>
      </c>
      <c r="X1" t="e">
        <f>AND(Hoja1!W1,"AAAAAHuf8Rc=")</f>
        <v>#VALUE!</v>
      </c>
      <c r="Y1" t="e">
        <f>AND(Hoja1!X1,"AAAAAHuf8Rg=")</f>
        <v>#VALUE!</v>
      </c>
      <c r="Z1" t="e">
        <f>AND(Hoja1!Y1,"AAAAAHuf8Rk=")</f>
        <v>#VALUE!</v>
      </c>
      <c r="AA1" t="e">
        <f>AND(Hoja1!Z1,"AAAAAHuf8Ro=")</f>
        <v>#VALUE!</v>
      </c>
      <c r="AB1" t="e">
        <f>AND(Hoja1!AA1,"AAAAAHuf8Rs=")</f>
        <v>#VALUE!</v>
      </c>
      <c r="AC1" t="e">
        <f>AND(Hoja1!AB1,"AAAAAHuf8Rw=")</f>
        <v>#VALUE!</v>
      </c>
      <c r="AD1" t="e">
        <f>AND(Hoja1!AC1,"AAAAAHuf8R0=")</f>
        <v>#VALUE!</v>
      </c>
      <c r="AE1">
        <f>IF(Hoja1!2:2,"AAAAAHuf8R4=",0)</f>
        <v>0</v>
      </c>
      <c r="AF1" t="e">
        <f>AND(Hoja1!A2,"AAAAAHuf8R8=")</f>
        <v>#VALUE!</v>
      </c>
      <c r="AG1" t="e">
        <f>AND(Hoja1!B2,"AAAAAHuf8SA=")</f>
        <v>#VALUE!</v>
      </c>
      <c r="AH1" t="e">
        <f>AND(Hoja1!C2,"AAAAAHuf8SE=")</f>
        <v>#VALUE!</v>
      </c>
      <c r="AI1" t="e">
        <f>AND(Hoja1!D2,"AAAAAHuf8SI=")</f>
        <v>#VALUE!</v>
      </c>
      <c r="AJ1" t="e">
        <f>AND(Hoja1!E2,"AAAAAHuf8SM=")</f>
        <v>#VALUE!</v>
      </c>
      <c r="AK1" t="e">
        <f>AND(Hoja1!F2,"AAAAAHuf8SQ=")</f>
        <v>#VALUE!</v>
      </c>
      <c r="AL1" t="e">
        <f>AND(Hoja1!G2,"AAAAAHuf8SU=")</f>
        <v>#VALUE!</v>
      </c>
      <c r="AM1" t="e">
        <f>AND(Hoja1!H2,"AAAAAHuf8SY=")</f>
        <v>#VALUE!</v>
      </c>
      <c r="AN1" t="e">
        <f>AND(Hoja1!I2,"AAAAAHuf8Sc=")</f>
        <v>#VALUE!</v>
      </c>
      <c r="AO1" t="e">
        <f>AND(Hoja1!J2,"AAAAAHuf8Sg=")</f>
        <v>#VALUE!</v>
      </c>
      <c r="AP1" t="e">
        <f>AND(Hoja1!K2,"AAAAAHuf8Sk=")</f>
        <v>#VALUE!</v>
      </c>
      <c r="AQ1" t="e">
        <f>AND(Hoja1!L2,"AAAAAHuf8So=")</f>
        <v>#VALUE!</v>
      </c>
      <c r="AR1" t="e">
        <f>AND(Hoja1!M2,"AAAAAHuf8Ss=")</f>
        <v>#VALUE!</v>
      </c>
      <c r="AS1" t="e">
        <f>AND(Hoja1!N2,"AAAAAHuf8Sw=")</f>
        <v>#VALUE!</v>
      </c>
      <c r="AT1" t="e">
        <f>AND(Hoja1!O2,"AAAAAHuf8S0=")</f>
        <v>#VALUE!</v>
      </c>
      <c r="AU1" t="e">
        <f>AND(Hoja1!P2,"AAAAAHuf8S4=")</f>
        <v>#VALUE!</v>
      </c>
      <c r="AV1" t="e">
        <f>AND(Hoja1!Q2,"AAAAAHuf8S8=")</f>
        <v>#VALUE!</v>
      </c>
      <c r="AW1" t="e">
        <f>AND(Hoja1!R2,"AAAAAHuf8TA=")</f>
        <v>#VALUE!</v>
      </c>
      <c r="AX1" t="e">
        <f>AND(Hoja1!S2,"AAAAAHuf8TE=")</f>
        <v>#VALUE!</v>
      </c>
      <c r="AY1" t="e">
        <f>AND(Hoja1!T2,"AAAAAHuf8TI=")</f>
        <v>#VALUE!</v>
      </c>
      <c r="AZ1" t="e">
        <f>AND(Hoja1!U2,"AAAAAHuf8TM=")</f>
        <v>#VALUE!</v>
      </c>
      <c r="BA1" t="e">
        <f>AND(Hoja1!V2,"AAAAAHuf8TQ=")</f>
        <v>#VALUE!</v>
      </c>
      <c r="BB1" t="e">
        <f>AND(Hoja1!W2,"AAAAAHuf8TU=")</f>
        <v>#VALUE!</v>
      </c>
      <c r="BC1" t="e">
        <f>AND(Hoja1!X2,"AAAAAHuf8TY=")</f>
        <v>#VALUE!</v>
      </c>
      <c r="BD1" t="e">
        <f>AND(Hoja1!Y2,"AAAAAHuf8Tc=")</f>
        <v>#VALUE!</v>
      </c>
      <c r="BE1" t="e">
        <f>AND(Hoja1!Z2,"AAAAAHuf8Tg=")</f>
        <v>#VALUE!</v>
      </c>
      <c r="BF1" t="e">
        <f>AND(Hoja1!AA2,"AAAAAHuf8Tk=")</f>
        <v>#VALUE!</v>
      </c>
      <c r="BG1" t="e">
        <f>AND(Hoja1!AB2,"AAAAAHuf8To=")</f>
        <v>#VALUE!</v>
      </c>
      <c r="BH1" t="e">
        <f>AND(Hoja1!AC2,"AAAAAHuf8Ts=")</f>
        <v>#VALUE!</v>
      </c>
      <c r="BI1">
        <f>IF(Hoja1!3:3,"AAAAAHuf8Tw=",0)</f>
        <v>0</v>
      </c>
      <c r="BJ1" t="e">
        <f>AND(Hoja1!A3,"AAAAAHuf8T0=")</f>
        <v>#VALUE!</v>
      </c>
      <c r="BK1" t="e">
        <f>AND(Hoja1!B3,"AAAAAHuf8T4=")</f>
        <v>#VALUE!</v>
      </c>
      <c r="BL1" t="e">
        <f>AND(Hoja1!C3,"AAAAAHuf8T8=")</f>
        <v>#VALUE!</v>
      </c>
      <c r="BM1" t="e">
        <f>AND(Hoja1!D3,"AAAAAHuf8UA=")</f>
        <v>#VALUE!</v>
      </c>
      <c r="BN1" t="e">
        <f>AND(Hoja1!E3,"AAAAAHuf8UE=")</f>
        <v>#VALUE!</v>
      </c>
      <c r="BO1" t="e">
        <f>AND(Hoja1!F3,"AAAAAHuf8UI=")</f>
        <v>#VALUE!</v>
      </c>
      <c r="BP1" t="e">
        <f>AND(Hoja1!G3,"AAAAAHuf8UM=")</f>
        <v>#VALUE!</v>
      </c>
      <c r="BQ1" t="e">
        <f>AND(Hoja1!H3,"AAAAAHuf8UQ=")</f>
        <v>#VALUE!</v>
      </c>
      <c r="BR1" t="e">
        <f>AND(Hoja1!I3,"AAAAAHuf8UU=")</f>
        <v>#VALUE!</v>
      </c>
      <c r="BS1" t="e">
        <f>AND(Hoja1!J3,"AAAAAHuf8UY=")</f>
        <v>#VALUE!</v>
      </c>
      <c r="BT1" t="e">
        <f>AND(Hoja1!K3,"AAAAAHuf8Uc=")</f>
        <v>#VALUE!</v>
      </c>
      <c r="BU1" t="e">
        <f>AND(Hoja1!L3,"AAAAAHuf8Ug=")</f>
        <v>#VALUE!</v>
      </c>
      <c r="BV1" t="e">
        <f>AND(Hoja1!M3,"AAAAAHuf8Uk=")</f>
        <v>#VALUE!</v>
      </c>
      <c r="BW1" t="e">
        <f>AND(Hoja1!N3,"AAAAAHuf8Uo=")</f>
        <v>#VALUE!</v>
      </c>
      <c r="BX1" t="e">
        <f>AND(Hoja1!O3,"AAAAAHuf8Us=")</f>
        <v>#VALUE!</v>
      </c>
      <c r="BY1" t="e">
        <f>AND(Hoja1!P3,"AAAAAHuf8Uw=")</f>
        <v>#VALUE!</v>
      </c>
      <c r="BZ1" t="e">
        <f>AND(Hoja1!Q3,"AAAAAHuf8U0=")</f>
        <v>#VALUE!</v>
      </c>
      <c r="CA1" t="e">
        <f>AND(Hoja1!R3,"AAAAAHuf8U4=")</f>
        <v>#VALUE!</v>
      </c>
      <c r="CB1" t="e">
        <f>AND(Hoja1!S3,"AAAAAHuf8U8=")</f>
        <v>#VALUE!</v>
      </c>
      <c r="CC1" t="e">
        <f>AND(Hoja1!T3,"AAAAAHuf8VA=")</f>
        <v>#VALUE!</v>
      </c>
      <c r="CD1" t="e">
        <f>AND(Hoja1!U3,"AAAAAHuf8VE=")</f>
        <v>#VALUE!</v>
      </c>
      <c r="CE1" t="e">
        <f>AND(Hoja1!V3,"AAAAAHuf8VI=")</f>
        <v>#VALUE!</v>
      </c>
      <c r="CF1" t="e">
        <f>AND(Hoja1!W3,"AAAAAHuf8VM=")</f>
        <v>#VALUE!</v>
      </c>
      <c r="CG1" t="e">
        <f>AND(Hoja1!X3,"AAAAAHuf8VQ=")</f>
        <v>#VALUE!</v>
      </c>
      <c r="CH1" t="e">
        <f>AND(Hoja1!Y3,"AAAAAHuf8VU=")</f>
        <v>#VALUE!</v>
      </c>
      <c r="CI1" t="e">
        <f>AND(Hoja1!Z3,"AAAAAHuf8VY=")</f>
        <v>#VALUE!</v>
      </c>
      <c r="CJ1" t="e">
        <f>AND(Hoja1!AA3,"AAAAAHuf8Vc=")</f>
        <v>#VALUE!</v>
      </c>
      <c r="CK1" t="e">
        <f>AND(Hoja1!AB3,"AAAAAHuf8Vg=")</f>
        <v>#VALUE!</v>
      </c>
      <c r="CL1" t="e">
        <f>AND(Hoja1!AC3,"AAAAAHuf8Vk=")</f>
        <v>#VALUE!</v>
      </c>
      <c r="CM1">
        <f>IF(Hoja1!4:4,"AAAAAHuf8Vo=",0)</f>
        <v>0</v>
      </c>
      <c r="CN1" t="e">
        <f>AND(Hoja1!A4,"AAAAAHuf8Vs=")</f>
        <v>#VALUE!</v>
      </c>
      <c r="CO1" t="e">
        <f>AND(Hoja1!B4,"AAAAAHuf8Vw=")</f>
        <v>#VALUE!</v>
      </c>
      <c r="CP1" t="e">
        <f>AND(Hoja1!C4,"AAAAAHuf8V0=")</f>
        <v>#VALUE!</v>
      </c>
      <c r="CQ1" t="e">
        <f>AND(Hoja1!D4,"AAAAAHuf8V4=")</f>
        <v>#VALUE!</v>
      </c>
      <c r="CR1" t="e">
        <f>AND(Hoja1!E4,"AAAAAHuf8V8=")</f>
        <v>#VALUE!</v>
      </c>
      <c r="CS1" t="e">
        <f>AND(Hoja1!F4,"AAAAAHuf8WA=")</f>
        <v>#VALUE!</v>
      </c>
      <c r="CT1" t="e">
        <f>AND(Hoja1!G4,"AAAAAHuf8WE=")</f>
        <v>#VALUE!</v>
      </c>
      <c r="CU1" t="e">
        <f>AND(Hoja1!H4,"AAAAAHuf8WI=")</f>
        <v>#VALUE!</v>
      </c>
      <c r="CV1" t="e">
        <f>AND(Hoja1!I4,"AAAAAHuf8WM=")</f>
        <v>#VALUE!</v>
      </c>
      <c r="CW1" t="e">
        <f>AND(Hoja1!J4,"AAAAAHuf8WQ=")</f>
        <v>#VALUE!</v>
      </c>
      <c r="CX1" t="e">
        <f>AND(Hoja1!K4,"AAAAAHuf8WU=")</f>
        <v>#VALUE!</v>
      </c>
      <c r="CY1" t="e">
        <f>AND(Hoja1!L4,"AAAAAHuf8WY=")</f>
        <v>#VALUE!</v>
      </c>
      <c r="CZ1" t="e">
        <f>AND(Hoja1!M4,"AAAAAHuf8Wc=")</f>
        <v>#VALUE!</v>
      </c>
      <c r="DA1" t="e">
        <f>AND(Hoja1!N4,"AAAAAHuf8Wg=")</f>
        <v>#VALUE!</v>
      </c>
      <c r="DB1" t="e">
        <f>AND(Hoja1!O4,"AAAAAHuf8Wk=")</f>
        <v>#VALUE!</v>
      </c>
      <c r="DC1" t="e">
        <f>AND(Hoja1!P4,"AAAAAHuf8Wo=")</f>
        <v>#VALUE!</v>
      </c>
      <c r="DD1" t="e">
        <f>AND(Hoja1!Q4,"AAAAAHuf8Ws=")</f>
        <v>#VALUE!</v>
      </c>
      <c r="DE1" t="e">
        <f>AND(Hoja1!R4,"AAAAAHuf8Ww=")</f>
        <v>#VALUE!</v>
      </c>
      <c r="DF1" t="e">
        <f>AND(Hoja1!S4,"AAAAAHuf8W0=")</f>
        <v>#VALUE!</v>
      </c>
      <c r="DG1" t="e">
        <f>AND(Hoja1!T4,"AAAAAHuf8W4=")</f>
        <v>#VALUE!</v>
      </c>
      <c r="DH1" t="e">
        <f>AND(Hoja1!U4,"AAAAAHuf8W8=")</f>
        <v>#VALUE!</v>
      </c>
      <c r="DI1" t="e">
        <f>AND(Hoja1!V4,"AAAAAHuf8XA=")</f>
        <v>#VALUE!</v>
      </c>
      <c r="DJ1" t="e">
        <f>AND(Hoja1!W4,"AAAAAHuf8XE=")</f>
        <v>#VALUE!</v>
      </c>
      <c r="DK1" t="e">
        <f>AND(Hoja1!X4,"AAAAAHuf8XI=")</f>
        <v>#VALUE!</v>
      </c>
      <c r="DL1" t="e">
        <f>AND(Hoja1!Y4,"AAAAAHuf8XM=")</f>
        <v>#VALUE!</v>
      </c>
      <c r="DM1" t="e">
        <f>AND(Hoja1!Z4,"AAAAAHuf8XQ=")</f>
        <v>#VALUE!</v>
      </c>
      <c r="DN1" t="e">
        <f>AND(Hoja1!AA4,"AAAAAHuf8XU=")</f>
        <v>#VALUE!</v>
      </c>
      <c r="DO1" t="e">
        <f>AND(Hoja1!AB4,"AAAAAHuf8XY=")</f>
        <v>#VALUE!</v>
      </c>
      <c r="DP1" t="e">
        <f>AND(Hoja1!AC4,"AAAAAHuf8Xc=")</f>
        <v>#VALUE!</v>
      </c>
      <c r="DQ1">
        <f>IF(Hoja1!5:5,"AAAAAHuf8Xg=",0)</f>
        <v>0</v>
      </c>
      <c r="DR1" t="e">
        <f>AND(Hoja1!A5,"AAAAAHuf8Xk=")</f>
        <v>#VALUE!</v>
      </c>
      <c r="DS1" t="e">
        <f>AND(Hoja1!B5,"AAAAAHuf8Xo=")</f>
        <v>#VALUE!</v>
      </c>
      <c r="DT1" t="e">
        <f>AND(Hoja1!C5,"AAAAAHuf8Xs=")</f>
        <v>#VALUE!</v>
      </c>
      <c r="DU1" t="e">
        <f>AND(Hoja1!D5,"AAAAAHuf8Xw=")</f>
        <v>#VALUE!</v>
      </c>
      <c r="DV1" t="e">
        <f>AND(Hoja1!E5,"AAAAAHuf8X0=")</f>
        <v>#VALUE!</v>
      </c>
      <c r="DW1" t="e">
        <f>AND(Hoja1!F5,"AAAAAHuf8X4=")</f>
        <v>#VALUE!</v>
      </c>
      <c r="DX1" t="e">
        <f>AND(Hoja1!G5,"AAAAAHuf8X8=")</f>
        <v>#VALUE!</v>
      </c>
      <c r="DY1" t="e">
        <f>AND(Hoja1!H5,"AAAAAHuf8YA=")</f>
        <v>#VALUE!</v>
      </c>
      <c r="DZ1" t="e">
        <f>AND(Hoja1!I5,"AAAAAHuf8YE=")</f>
        <v>#VALUE!</v>
      </c>
      <c r="EA1" t="e">
        <f>AND(Hoja1!J5,"AAAAAHuf8YI=")</f>
        <v>#VALUE!</v>
      </c>
      <c r="EB1" t="e">
        <f>AND(Hoja1!K5,"AAAAAHuf8YM=")</f>
        <v>#VALUE!</v>
      </c>
      <c r="EC1" t="e">
        <f>AND(Hoja1!L5,"AAAAAHuf8YQ=")</f>
        <v>#VALUE!</v>
      </c>
      <c r="ED1" t="e">
        <f>AND(Hoja1!M5,"AAAAAHuf8YU=")</f>
        <v>#VALUE!</v>
      </c>
      <c r="EE1" t="e">
        <f>AND(Hoja1!N5,"AAAAAHuf8YY=")</f>
        <v>#VALUE!</v>
      </c>
      <c r="EF1" t="e">
        <f>AND(Hoja1!O5,"AAAAAHuf8Yc=")</f>
        <v>#VALUE!</v>
      </c>
      <c r="EG1" t="e">
        <f>AND(Hoja1!P5,"AAAAAHuf8Yg=")</f>
        <v>#VALUE!</v>
      </c>
      <c r="EH1" t="e">
        <f>AND(Hoja1!Q5,"AAAAAHuf8Yk=")</f>
        <v>#VALUE!</v>
      </c>
      <c r="EI1" t="e">
        <f>AND(Hoja1!R5,"AAAAAHuf8Yo=")</f>
        <v>#VALUE!</v>
      </c>
      <c r="EJ1" t="e">
        <f>AND(Hoja1!S5,"AAAAAHuf8Ys=")</f>
        <v>#VALUE!</v>
      </c>
      <c r="EK1" t="e">
        <f>AND(Hoja1!T5,"AAAAAHuf8Yw=")</f>
        <v>#VALUE!</v>
      </c>
      <c r="EL1" t="e">
        <f>AND(Hoja1!U5,"AAAAAHuf8Y0=")</f>
        <v>#VALUE!</v>
      </c>
      <c r="EM1" t="e">
        <f>AND(Hoja1!V5,"AAAAAHuf8Y4=")</f>
        <v>#VALUE!</v>
      </c>
      <c r="EN1" t="e">
        <f>AND(Hoja1!W5,"AAAAAHuf8Y8=")</f>
        <v>#VALUE!</v>
      </c>
      <c r="EO1" t="e">
        <f>AND(Hoja1!X5,"AAAAAHuf8ZA=")</f>
        <v>#VALUE!</v>
      </c>
      <c r="EP1" t="e">
        <f>AND(Hoja1!Y5,"AAAAAHuf8ZE=")</f>
        <v>#VALUE!</v>
      </c>
      <c r="EQ1" t="e">
        <f>AND(Hoja1!Z5,"AAAAAHuf8ZI=")</f>
        <v>#VALUE!</v>
      </c>
      <c r="ER1" t="e">
        <f>AND(Hoja1!AA5,"AAAAAHuf8ZM=")</f>
        <v>#VALUE!</v>
      </c>
      <c r="ES1" t="e">
        <f>AND(Hoja1!AB5,"AAAAAHuf8ZQ=")</f>
        <v>#VALUE!</v>
      </c>
      <c r="ET1" t="e">
        <f>AND(Hoja1!AC5,"AAAAAHuf8ZU=")</f>
        <v>#VALUE!</v>
      </c>
      <c r="EU1">
        <f>IF(Hoja1!6:6,"AAAAAHuf8ZY=",0)</f>
        <v>0</v>
      </c>
      <c r="EV1" t="e">
        <f>AND(Hoja1!A6,"AAAAAHuf8Zc=")</f>
        <v>#VALUE!</v>
      </c>
      <c r="EW1" t="e">
        <f>AND(Hoja1!B6,"AAAAAHuf8Zg=")</f>
        <v>#VALUE!</v>
      </c>
      <c r="EX1" t="e">
        <f>AND(Hoja1!C6,"AAAAAHuf8Zk=")</f>
        <v>#VALUE!</v>
      </c>
      <c r="EY1" t="e">
        <f>AND(Hoja1!D6,"AAAAAHuf8Zo=")</f>
        <v>#VALUE!</v>
      </c>
      <c r="EZ1" t="e">
        <f>AND(Hoja1!E6,"AAAAAHuf8Zs=")</f>
        <v>#VALUE!</v>
      </c>
      <c r="FA1" t="e">
        <f>AND(Hoja1!F6,"AAAAAHuf8Zw=")</f>
        <v>#VALUE!</v>
      </c>
      <c r="FB1" t="e">
        <f>AND(Hoja1!G6,"AAAAAHuf8Z0=")</f>
        <v>#VALUE!</v>
      </c>
      <c r="FC1" t="e">
        <f>AND(Hoja1!H6,"AAAAAHuf8Z4=")</f>
        <v>#VALUE!</v>
      </c>
      <c r="FD1" t="e">
        <f>AND(Hoja1!I6,"AAAAAHuf8Z8=")</f>
        <v>#VALUE!</v>
      </c>
      <c r="FE1" t="e">
        <f>AND(Hoja1!J6,"AAAAAHuf8aA=")</f>
        <v>#VALUE!</v>
      </c>
      <c r="FF1" t="e">
        <f>AND(Hoja1!K6,"AAAAAHuf8aE=")</f>
        <v>#VALUE!</v>
      </c>
      <c r="FG1" t="e">
        <f>AND(Hoja1!L6,"AAAAAHuf8aI=")</f>
        <v>#VALUE!</v>
      </c>
      <c r="FH1" t="e">
        <f>AND(Hoja1!M6,"AAAAAHuf8aM=")</f>
        <v>#VALUE!</v>
      </c>
      <c r="FI1" t="e">
        <f>AND(Hoja1!N6,"AAAAAHuf8aQ=")</f>
        <v>#VALUE!</v>
      </c>
      <c r="FJ1" t="e">
        <f>AND(Hoja1!O6,"AAAAAHuf8aU=")</f>
        <v>#VALUE!</v>
      </c>
      <c r="FK1" t="e">
        <f>AND(Hoja1!P6,"AAAAAHuf8aY=")</f>
        <v>#VALUE!</v>
      </c>
      <c r="FL1" t="e">
        <f>AND(Hoja1!Q6,"AAAAAHuf8ac=")</f>
        <v>#VALUE!</v>
      </c>
      <c r="FM1" t="e">
        <f>AND(Hoja1!R6,"AAAAAHuf8ag=")</f>
        <v>#VALUE!</v>
      </c>
      <c r="FN1" t="e">
        <f>AND(Hoja1!S6,"AAAAAHuf8ak=")</f>
        <v>#VALUE!</v>
      </c>
      <c r="FO1" t="e">
        <f>AND(Hoja1!T6,"AAAAAHuf8ao=")</f>
        <v>#VALUE!</v>
      </c>
      <c r="FP1" t="e">
        <f>AND(Hoja1!U6,"AAAAAHuf8as=")</f>
        <v>#VALUE!</v>
      </c>
      <c r="FQ1" t="e">
        <f>AND(Hoja1!V6,"AAAAAHuf8aw=")</f>
        <v>#VALUE!</v>
      </c>
      <c r="FR1" t="e">
        <f>AND(Hoja1!W6,"AAAAAHuf8a0=")</f>
        <v>#VALUE!</v>
      </c>
      <c r="FS1" t="e">
        <f>AND(Hoja1!X6,"AAAAAHuf8a4=")</f>
        <v>#VALUE!</v>
      </c>
      <c r="FT1" t="e">
        <f>AND(Hoja1!Y6,"AAAAAHuf8a8=")</f>
        <v>#VALUE!</v>
      </c>
      <c r="FU1" t="e">
        <f>AND(Hoja1!Z6,"AAAAAHuf8bA=")</f>
        <v>#VALUE!</v>
      </c>
      <c r="FV1" t="e">
        <f>AND(Hoja1!AA6,"AAAAAHuf8bE=")</f>
        <v>#VALUE!</v>
      </c>
      <c r="FW1" t="e">
        <f>AND(Hoja1!AB6,"AAAAAHuf8bI=")</f>
        <v>#VALUE!</v>
      </c>
      <c r="FX1" t="e">
        <f>AND(Hoja1!AC6,"AAAAAHuf8bM=")</f>
        <v>#VALUE!</v>
      </c>
      <c r="FY1">
        <f>IF(Hoja1!7:7,"AAAAAHuf8bQ=",0)</f>
        <v>0</v>
      </c>
      <c r="FZ1" t="e">
        <f>AND(Hoja1!A7,"AAAAAHuf8bU=")</f>
        <v>#VALUE!</v>
      </c>
      <c r="GA1" t="e">
        <f>AND(Hoja1!B7,"AAAAAHuf8bY=")</f>
        <v>#VALUE!</v>
      </c>
      <c r="GB1" t="e">
        <f>AND(Hoja1!C7,"AAAAAHuf8bc=")</f>
        <v>#VALUE!</v>
      </c>
      <c r="GC1" t="e">
        <f>AND(Hoja1!D7,"AAAAAHuf8bg=")</f>
        <v>#VALUE!</v>
      </c>
      <c r="GD1" t="e">
        <f>AND(Hoja1!E7,"AAAAAHuf8bk=")</f>
        <v>#VALUE!</v>
      </c>
      <c r="GE1" t="e">
        <f>AND(Hoja1!F7,"AAAAAHuf8bo=")</f>
        <v>#VALUE!</v>
      </c>
      <c r="GF1" t="e">
        <f>AND(Hoja1!G7,"AAAAAHuf8bs=")</f>
        <v>#VALUE!</v>
      </c>
      <c r="GG1" t="e">
        <f>AND(Hoja1!H7,"AAAAAHuf8bw=")</f>
        <v>#VALUE!</v>
      </c>
      <c r="GH1" t="e">
        <f>AND(Hoja1!I7,"AAAAAHuf8b0=")</f>
        <v>#VALUE!</v>
      </c>
      <c r="GI1" t="e">
        <f>AND(Hoja1!J7,"AAAAAHuf8b4=")</f>
        <v>#VALUE!</v>
      </c>
      <c r="GJ1" t="e">
        <f>AND(Hoja1!K7,"AAAAAHuf8b8=")</f>
        <v>#VALUE!</v>
      </c>
      <c r="GK1" t="e">
        <f>AND(Hoja1!L7,"AAAAAHuf8cA=")</f>
        <v>#VALUE!</v>
      </c>
      <c r="GL1" t="e">
        <f>AND(Hoja1!M7,"AAAAAHuf8cE=")</f>
        <v>#VALUE!</v>
      </c>
      <c r="GM1" t="e">
        <f>AND(Hoja1!N7,"AAAAAHuf8cI=")</f>
        <v>#VALUE!</v>
      </c>
      <c r="GN1" t="e">
        <f>AND(Hoja1!O7,"AAAAAHuf8cM=")</f>
        <v>#VALUE!</v>
      </c>
      <c r="GO1" t="e">
        <f>AND(Hoja1!P7,"AAAAAHuf8cQ=")</f>
        <v>#VALUE!</v>
      </c>
      <c r="GP1" t="e">
        <f>AND(Hoja1!Q7,"AAAAAHuf8cU=")</f>
        <v>#VALUE!</v>
      </c>
      <c r="GQ1" t="e">
        <f>AND(Hoja1!R7,"AAAAAHuf8cY=")</f>
        <v>#VALUE!</v>
      </c>
      <c r="GR1" t="e">
        <f>AND(Hoja1!S7,"AAAAAHuf8cc=")</f>
        <v>#VALUE!</v>
      </c>
      <c r="GS1" t="e">
        <f>AND(Hoja1!T7,"AAAAAHuf8cg=")</f>
        <v>#VALUE!</v>
      </c>
      <c r="GT1" t="e">
        <f>AND(Hoja1!U7,"AAAAAHuf8ck=")</f>
        <v>#VALUE!</v>
      </c>
      <c r="GU1" t="e">
        <f>AND(Hoja1!V7,"AAAAAHuf8co=")</f>
        <v>#VALUE!</v>
      </c>
      <c r="GV1" t="e">
        <f>AND(Hoja1!W7,"AAAAAHuf8cs=")</f>
        <v>#VALUE!</v>
      </c>
      <c r="GW1" t="e">
        <f>AND(Hoja1!X7,"AAAAAHuf8cw=")</f>
        <v>#VALUE!</v>
      </c>
      <c r="GX1" t="e">
        <f>AND(Hoja1!Y7,"AAAAAHuf8c0=")</f>
        <v>#VALUE!</v>
      </c>
      <c r="GY1" t="e">
        <f>AND(Hoja1!Z7,"AAAAAHuf8c4=")</f>
        <v>#VALUE!</v>
      </c>
      <c r="GZ1" t="e">
        <f>AND(Hoja1!AA7,"AAAAAHuf8c8=")</f>
        <v>#VALUE!</v>
      </c>
      <c r="HA1" t="e">
        <f>AND(Hoja1!AB7,"AAAAAHuf8dA=")</f>
        <v>#VALUE!</v>
      </c>
      <c r="HB1" t="e">
        <f>AND(Hoja1!AC7,"AAAAAHuf8dE=")</f>
        <v>#VALUE!</v>
      </c>
      <c r="HC1">
        <f>IF(Hoja1!8:8,"AAAAAHuf8dI=",0)</f>
        <v>0</v>
      </c>
      <c r="HD1" t="e">
        <f>AND(Hoja1!A8,"AAAAAHuf8dM=")</f>
        <v>#VALUE!</v>
      </c>
      <c r="HE1" t="e">
        <f>AND(Hoja1!B8,"AAAAAHuf8dQ=")</f>
        <v>#VALUE!</v>
      </c>
      <c r="HF1" t="e">
        <f>AND(Hoja1!C8,"AAAAAHuf8dU=")</f>
        <v>#VALUE!</v>
      </c>
      <c r="HG1" t="e">
        <f>AND(Hoja1!D8,"AAAAAHuf8dY=")</f>
        <v>#VALUE!</v>
      </c>
      <c r="HH1" t="e">
        <f>AND(Hoja1!E8,"AAAAAHuf8dc=")</f>
        <v>#VALUE!</v>
      </c>
      <c r="HI1" t="e">
        <f>AND(Hoja1!F8,"AAAAAHuf8dg=")</f>
        <v>#VALUE!</v>
      </c>
      <c r="HJ1" t="e">
        <f>AND(Hoja1!G8,"AAAAAHuf8dk=")</f>
        <v>#VALUE!</v>
      </c>
      <c r="HK1" t="e">
        <f>AND(Hoja1!H8,"AAAAAHuf8do=")</f>
        <v>#VALUE!</v>
      </c>
      <c r="HL1" t="e">
        <f>AND(Hoja1!I8,"AAAAAHuf8ds=")</f>
        <v>#VALUE!</v>
      </c>
      <c r="HM1" t="e">
        <f>AND(Hoja1!J8,"AAAAAHuf8dw=")</f>
        <v>#VALUE!</v>
      </c>
      <c r="HN1" t="e">
        <f>AND(Hoja1!K8,"AAAAAHuf8d0=")</f>
        <v>#VALUE!</v>
      </c>
      <c r="HO1" t="e">
        <f>AND(Hoja1!L8,"AAAAAHuf8d4=")</f>
        <v>#VALUE!</v>
      </c>
      <c r="HP1" t="e">
        <f>AND(Hoja1!M8,"AAAAAHuf8d8=")</f>
        <v>#VALUE!</v>
      </c>
      <c r="HQ1" t="e">
        <f>AND(Hoja1!N8,"AAAAAHuf8eA=")</f>
        <v>#VALUE!</v>
      </c>
      <c r="HR1" t="e">
        <f>AND(Hoja1!O8,"AAAAAHuf8eE=")</f>
        <v>#VALUE!</v>
      </c>
      <c r="HS1" t="e">
        <f>AND(Hoja1!P8,"AAAAAHuf8eI=")</f>
        <v>#VALUE!</v>
      </c>
      <c r="HT1" t="e">
        <f>AND(Hoja1!Q8,"AAAAAHuf8eM=")</f>
        <v>#VALUE!</v>
      </c>
      <c r="HU1" t="e">
        <f>AND(Hoja1!R8,"AAAAAHuf8eQ=")</f>
        <v>#VALUE!</v>
      </c>
      <c r="HV1" t="e">
        <f>AND(Hoja1!S8,"AAAAAHuf8eU=")</f>
        <v>#VALUE!</v>
      </c>
      <c r="HW1" t="e">
        <f>AND(Hoja1!T8,"AAAAAHuf8eY=")</f>
        <v>#VALUE!</v>
      </c>
      <c r="HX1" t="e">
        <f>AND(Hoja1!U8,"AAAAAHuf8ec=")</f>
        <v>#VALUE!</v>
      </c>
      <c r="HY1" t="e">
        <f>AND(Hoja1!V8,"AAAAAHuf8eg=")</f>
        <v>#VALUE!</v>
      </c>
      <c r="HZ1" t="e">
        <f>AND(Hoja1!W8,"AAAAAHuf8ek=")</f>
        <v>#VALUE!</v>
      </c>
      <c r="IA1" t="e">
        <f>AND(Hoja1!X8,"AAAAAHuf8eo=")</f>
        <v>#VALUE!</v>
      </c>
      <c r="IB1" t="e">
        <f>AND(Hoja1!Y8,"AAAAAHuf8es=")</f>
        <v>#VALUE!</v>
      </c>
      <c r="IC1" t="e">
        <f>AND(Hoja1!Z8,"AAAAAHuf8ew=")</f>
        <v>#VALUE!</v>
      </c>
      <c r="ID1" t="e">
        <f>AND(Hoja1!AA8,"AAAAAHuf8e0=")</f>
        <v>#VALUE!</v>
      </c>
      <c r="IE1" t="e">
        <f>AND(Hoja1!AB8,"AAAAAHuf8e4=")</f>
        <v>#VALUE!</v>
      </c>
      <c r="IF1" t="e">
        <f>AND(Hoja1!AC8,"AAAAAHuf8e8=")</f>
        <v>#VALUE!</v>
      </c>
      <c r="IG1">
        <f>IF(Hoja1!9:9,"AAAAAHuf8fA=",0)</f>
        <v>0</v>
      </c>
      <c r="IH1" t="e">
        <f>AND(Hoja1!A9,"AAAAAHuf8fE=")</f>
        <v>#VALUE!</v>
      </c>
      <c r="II1" t="e">
        <f>AND(Hoja1!B9,"AAAAAHuf8fI=")</f>
        <v>#VALUE!</v>
      </c>
      <c r="IJ1" t="e">
        <f>AND(Hoja1!C9,"AAAAAHuf8fM=")</f>
        <v>#VALUE!</v>
      </c>
      <c r="IK1" t="e">
        <f>AND(Hoja1!D9,"AAAAAHuf8fQ=")</f>
        <v>#VALUE!</v>
      </c>
      <c r="IL1" t="e">
        <f>AND(Hoja1!E9,"AAAAAHuf8fU=")</f>
        <v>#VALUE!</v>
      </c>
      <c r="IM1" t="e">
        <f>AND(Hoja1!F9,"AAAAAHuf8fY=")</f>
        <v>#VALUE!</v>
      </c>
      <c r="IN1" t="e">
        <f>AND(Hoja1!G9,"AAAAAHuf8fc=")</f>
        <v>#VALUE!</v>
      </c>
      <c r="IO1" t="e">
        <f>AND(Hoja1!H9,"AAAAAHuf8fg=")</f>
        <v>#VALUE!</v>
      </c>
      <c r="IP1" t="e">
        <f>AND(Hoja1!I9,"AAAAAHuf8fk=")</f>
        <v>#VALUE!</v>
      </c>
      <c r="IQ1" t="e">
        <f>AND(Hoja1!J9,"AAAAAHuf8fo=")</f>
        <v>#VALUE!</v>
      </c>
      <c r="IR1" t="e">
        <f>AND(Hoja1!K9,"AAAAAHuf8fs=")</f>
        <v>#VALUE!</v>
      </c>
      <c r="IS1" t="e">
        <f>AND(Hoja1!L9,"AAAAAHuf8fw=")</f>
        <v>#VALUE!</v>
      </c>
      <c r="IT1" t="e">
        <f>AND(Hoja1!M9,"AAAAAHuf8f0=")</f>
        <v>#VALUE!</v>
      </c>
      <c r="IU1" t="e">
        <f>AND(Hoja1!N9,"AAAAAHuf8f4=")</f>
        <v>#VALUE!</v>
      </c>
      <c r="IV1" t="e">
        <f>AND(Hoja1!O9,"AAAAAHuf8f8=")</f>
        <v>#VALUE!</v>
      </c>
    </row>
    <row r="2" spans="1:256">
      <c r="A2" t="e">
        <f>AND(Hoja1!P9,"AAAAAD33nQA=")</f>
        <v>#VALUE!</v>
      </c>
      <c r="B2" t="e">
        <f>AND(Hoja1!Q9,"AAAAAD33nQE=")</f>
        <v>#VALUE!</v>
      </c>
      <c r="C2" t="e">
        <f>AND(Hoja1!R9,"AAAAAD33nQI=")</f>
        <v>#VALUE!</v>
      </c>
      <c r="D2" t="e">
        <f>AND(Hoja1!S9,"AAAAAD33nQM=")</f>
        <v>#VALUE!</v>
      </c>
      <c r="E2" t="e">
        <f>AND(Hoja1!T9,"AAAAAD33nQQ=")</f>
        <v>#VALUE!</v>
      </c>
      <c r="F2" t="e">
        <f>AND(Hoja1!U9,"AAAAAD33nQU=")</f>
        <v>#VALUE!</v>
      </c>
      <c r="G2" t="e">
        <f>AND(Hoja1!V9,"AAAAAD33nQY=")</f>
        <v>#VALUE!</v>
      </c>
      <c r="H2" t="e">
        <f>AND(Hoja1!W9,"AAAAAD33nQc=")</f>
        <v>#VALUE!</v>
      </c>
      <c r="I2" t="e">
        <f>AND(Hoja1!X9,"AAAAAD33nQg=")</f>
        <v>#VALUE!</v>
      </c>
      <c r="J2" t="e">
        <f>AND(Hoja1!Y9,"AAAAAD33nQk=")</f>
        <v>#VALUE!</v>
      </c>
      <c r="K2" t="e">
        <f>AND(Hoja1!Z9,"AAAAAD33nQo=")</f>
        <v>#VALUE!</v>
      </c>
      <c r="L2" t="e">
        <f>AND(Hoja1!AA9,"AAAAAD33nQs=")</f>
        <v>#VALUE!</v>
      </c>
      <c r="M2" t="e">
        <f>AND(Hoja1!AB9,"AAAAAD33nQw=")</f>
        <v>#VALUE!</v>
      </c>
      <c r="N2" t="e">
        <f>AND(Hoja1!AC9,"AAAAAD33nQ0=")</f>
        <v>#VALUE!</v>
      </c>
      <c r="O2">
        <f>IF(Hoja1!10:10,"AAAAAD33nQ4=",0)</f>
        <v>0</v>
      </c>
      <c r="P2" t="e">
        <f>AND(Hoja1!A10,"AAAAAD33nQ8=")</f>
        <v>#VALUE!</v>
      </c>
      <c r="Q2" t="e">
        <f>AND(Hoja1!B10,"AAAAAD33nRA=")</f>
        <v>#VALUE!</v>
      </c>
      <c r="R2" t="e">
        <f>AND(Hoja1!C10,"AAAAAD33nRE=")</f>
        <v>#VALUE!</v>
      </c>
      <c r="S2" t="e">
        <f>AND(Hoja1!D10,"AAAAAD33nRI=")</f>
        <v>#VALUE!</v>
      </c>
      <c r="T2" t="e">
        <f>AND(Hoja1!E10,"AAAAAD33nRM=")</f>
        <v>#VALUE!</v>
      </c>
      <c r="U2" t="e">
        <f>AND(Hoja1!F10,"AAAAAD33nRQ=")</f>
        <v>#VALUE!</v>
      </c>
      <c r="V2" t="e">
        <f>AND(Hoja1!G10,"AAAAAD33nRU=")</f>
        <v>#VALUE!</v>
      </c>
      <c r="W2" t="e">
        <f>AND(Hoja1!H10,"AAAAAD33nRY=")</f>
        <v>#VALUE!</v>
      </c>
      <c r="X2" t="e">
        <f>AND(Hoja1!I10,"AAAAAD33nRc=")</f>
        <v>#VALUE!</v>
      </c>
      <c r="Y2" t="e">
        <f>AND(Hoja1!J10,"AAAAAD33nRg=")</f>
        <v>#VALUE!</v>
      </c>
      <c r="Z2" t="e">
        <f>AND(Hoja1!K10,"AAAAAD33nRk=")</f>
        <v>#VALUE!</v>
      </c>
      <c r="AA2" t="e">
        <f>AND(Hoja1!L10,"AAAAAD33nRo=")</f>
        <v>#VALUE!</v>
      </c>
      <c r="AB2" t="e">
        <f>AND(Hoja1!M10,"AAAAAD33nRs=")</f>
        <v>#VALUE!</v>
      </c>
      <c r="AC2" t="e">
        <f>AND(Hoja1!N10,"AAAAAD33nRw=")</f>
        <v>#VALUE!</v>
      </c>
      <c r="AD2" t="e">
        <f>AND(Hoja1!O10,"AAAAAD33nR0=")</f>
        <v>#VALUE!</v>
      </c>
      <c r="AE2" t="e">
        <f>AND(Hoja1!P10,"AAAAAD33nR4=")</f>
        <v>#VALUE!</v>
      </c>
      <c r="AF2" t="e">
        <f>AND(Hoja1!Q10,"AAAAAD33nR8=")</f>
        <v>#VALUE!</v>
      </c>
      <c r="AG2" t="e">
        <f>AND(Hoja1!R10,"AAAAAD33nSA=")</f>
        <v>#VALUE!</v>
      </c>
      <c r="AH2" t="e">
        <f>AND(Hoja1!S10,"AAAAAD33nSE=")</f>
        <v>#VALUE!</v>
      </c>
      <c r="AI2" t="e">
        <f>AND(Hoja1!T10,"AAAAAD33nSI=")</f>
        <v>#VALUE!</v>
      </c>
      <c r="AJ2" t="e">
        <f>AND(Hoja1!U10,"AAAAAD33nSM=")</f>
        <v>#VALUE!</v>
      </c>
      <c r="AK2" t="e">
        <f>AND(Hoja1!V10,"AAAAAD33nSQ=")</f>
        <v>#VALUE!</v>
      </c>
      <c r="AL2" t="e">
        <f>AND(Hoja1!W10,"AAAAAD33nSU=")</f>
        <v>#VALUE!</v>
      </c>
      <c r="AM2" t="e">
        <f>AND(Hoja1!X10,"AAAAAD33nSY=")</f>
        <v>#VALUE!</v>
      </c>
      <c r="AN2" t="e">
        <f>AND(Hoja1!Y10,"AAAAAD33nSc=")</f>
        <v>#VALUE!</v>
      </c>
      <c r="AO2" t="e">
        <f>AND(Hoja1!Z10,"AAAAAD33nSg=")</f>
        <v>#VALUE!</v>
      </c>
      <c r="AP2" t="e">
        <f>AND(Hoja1!AA10,"AAAAAD33nSk=")</f>
        <v>#VALUE!</v>
      </c>
      <c r="AQ2" t="e">
        <f>AND(Hoja1!AB10,"AAAAAD33nSo=")</f>
        <v>#VALUE!</v>
      </c>
      <c r="AR2" t="e">
        <f>AND(Hoja1!AC10,"AAAAAD33nSs=")</f>
        <v>#VALUE!</v>
      </c>
      <c r="AS2">
        <f>IF(Hoja1!11:11,"AAAAAD33nSw=",0)</f>
        <v>0</v>
      </c>
      <c r="AT2" t="e">
        <f>AND(Hoja1!A11,"AAAAAD33nS0=")</f>
        <v>#VALUE!</v>
      </c>
      <c r="AU2" t="e">
        <f>AND(Hoja1!B11,"AAAAAD33nS4=")</f>
        <v>#VALUE!</v>
      </c>
      <c r="AV2" t="e">
        <f>AND(Hoja1!C11,"AAAAAD33nS8=")</f>
        <v>#VALUE!</v>
      </c>
      <c r="AW2" t="e">
        <f>AND(Hoja1!D11,"AAAAAD33nTA=")</f>
        <v>#VALUE!</v>
      </c>
      <c r="AX2" t="e">
        <f>AND(Hoja1!E11,"AAAAAD33nTE=")</f>
        <v>#VALUE!</v>
      </c>
      <c r="AY2" t="e">
        <f>AND(Hoja1!F11,"AAAAAD33nTI=")</f>
        <v>#VALUE!</v>
      </c>
      <c r="AZ2" t="e">
        <f>AND(Hoja1!G11,"AAAAAD33nTM=")</f>
        <v>#VALUE!</v>
      </c>
      <c r="BA2" t="e">
        <f>AND(Hoja1!H11,"AAAAAD33nTQ=")</f>
        <v>#VALUE!</v>
      </c>
      <c r="BB2" t="e">
        <f>AND(Hoja1!I11,"AAAAAD33nTU=")</f>
        <v>#VALUE!</v>
      </c>
      <c r="BC2" t="e">
        <f>AND(Hoja1!J11,"AAAAAD33nTY=")</f>
        <v>#VALUE!</v>
      </c>
      <c r="BD2" t="e">
        <f>AND(Hoja1!K11,"AAAAAD33nTc=")</f>
        <v>#VALUE!</v>
      </c>
      <c r="BE2" t="e">
        <f>AND(Hoja1!L11,"AAAAAD33nTg=")</f>
        <v>#VALUE!</v>
      </c>
      <c r="BF2" t="e">
        <f>AND(Hoja1!M11,"AAAAAD33nTk=")</f>
        <v>#VALUE!</v>
      </c>
      <c r="BG2" t="e">
        <f>AND(Hoja1!N11,"AAAAAD33nTo=")</f>
        <v>#VALUE!</v>
      </c>
      <c r="BH2" t="e">
        <f>AND(Hoja1!O11,"AAAAAD33nTs=")</f>
        <v>#VALUE!</v>
      </c>
      <c r="BI2" t="e">
        <f>AND(Hoja1!P11,"AAAAAD33nTw=")</f>
        <v>#VALUE!</v>
      </c>
      <c r="BJ2" t="e">
        <f>AND(Hoja1!Q11,"AAAAAD33nT0=")</f>
        <v>#VALUE!</v>
      </c>
      <c r="BK2" t="e">
        <f>AND(Hoja1!R11,"AAAAAD33nT4=")</f>
        <v>#VALUE!</v>
      </c>
      <c r="BL2" t="e">
        <f>AND(Hoja1!S11,"AAAAAD33nT8=")</f>
        <v>#VALUE!</v>
      </c>
      <c r="BM2" t="e">
        <f>AND(Hoja1!T11,"AAAAAD33nUA=")</f>
        <v>#VALUE!</v>
      </c>
      <c r="BN2" t="e">
        <f>AND(Hoja1!U11,"AAAAAD33nUE=")</f>
        <v>#VALUE!</v>
      </c>
      <c r="BO2" t="e">
        <f>AND(Hoja1!V11,"AAAAAD33nUI=")</f>
        <v>#VALUE!</v>
      </c>
      <c r="BP2" t="e">
        <f>AND(Hoja1!W11,"AAAAAD33nUM=")</f>
        <v>#VALUE!</v>
      </c>
      <c r="BQ2" t="e">
        <f>AND(Hoja1!X11,"AAAAAD33nUQ=")</f>
        <v>#VALUE!</v>
      </c>
      <c r="BR2" t="e">
        <f>AND(Hoja1!Y11,"AAAAAD33nUU=")</f>
        <v>#VALUE!</v>
      </c>
      <c r="BS2" t="e">
        <f>AND(Hoja1!Z11,"AAAAAD33nUY=")</f>
        <v>#VALUE!</v>
      </c>
      <c r="BT2" t="e">
        <f>AND(Hoja1!AA11,"AAAAAD33nUc=")</f>
        <v>#VALUE!</v>
      </c>
      <c r="BU2" t="e">
        <f>AND(Hoja1!AB11,"AAAAAD33nUg=")</f>
        <v>#VALUE!</v>
      </c>
      <c r="BV2" t="e">
        <f>AND(Hoja1!AC11,"AAAAAD33nUk=")</f>
        <v>#VALUE!</v>
      </c>
      <c r="BW2">
        <f>IF(Hoja1!12:12,"AAAAAD33nUo=",0)</f>
        <v>0</v>
      </c>
      <c r="BX2" t="e">
        <f>AND(Hoja1!A12,"AAAAAD33nUs=")</f>
        <v>#VALUE!</v>
      </c>
      <c r="BY2" t="e">
        <f>AND(Hoja1!B12,"AAAAAD33nUw=")</f>
        <v>#VALUE!</v>
      </c>
      <c r="BZ2" t="e">
        <f>AND(Hoja1!C12,"AAAAAD33nU0=")</f>
        <v>#VALUE!</v>
      </c>
      <c r="CA2" t="e">
        <f>AND(Hoja1!D12,"AAAAAD33nU4=")</f>
        <v>#VALUE!</v>
      </c>
      <c r="CB2" t="e">
        <f>AND(Hoja1!E12,"AAAAAD33nU8=")</f>
        <v>#VALUE!</v>
      </c>
      <c r="CC2" t="e">
        <f>AND(Hoja1!F12,"AAAAAD33nVA=")</f>
        <v>#VALUE!</v>
      </c>
      <c r="CD2" t="e">
        <f>AND(Hoja1!G12,"AAAAAD33nVE=")</f>
        <v>#VALUE!</v>
      </c>
      <c r="CE2" t="e">
        <f>AND(Hoja1!H12,"AAAAAD33nVI=")</f>
        <v>#VALUE!</v>
      </c>
      <c r="CF2" t="e">
        <f>AND(Hoja1!I12,"AAAAAD33nVM=")</f>
        <v>#VALUE!</v>
      </c>
      <c r="CG2" t="e">
        <f>AND(Hoja1!J12,"AAAAAD33nVQ=")</f>
        <v>#VALUE!</v>
      </c>
      <c r="CH2" t="e">
        <f>AND(Hoja1!K12,"AAAAAD33nVU=")</f>
        <v>#VALUE!</v>
      </c>
      <c r="CI2" t="e">
        <f>AND(Hoja1!L12,"AAAAAD33nVY=")</f>
        <v>#VALUE!</v>
      </c>
      <c r="CJ2" t="e">
        <f>AND(Hoja1!M12,"AAAAAD33nVc=")</f>
        <v>#VALUE!</v>
      </c>
      <c r="CK2" t="e">
        <f>AND(Hoja1!N12,"AAAAAD33nVg=")</f>
        <v>#VALUE!</v>
      </c>
      <c r="CL2" t="e">
        <f>AND(Hoja1!O12,"AAAAAD33nVk=")</f>
        <v>#VALUE!</v>
      </c>
      <c r="CM2" t="e">
        <f>AND(Hoja1!P12,"AAAAAD33nVo=")</f>
        <v>#VALUE!</v>
      </c>
      <c r="CN2" t="e">
        <f>AND(Hoja1!Q12,"AAAAAD33nVs=")</f>
        <v>#VALUE!</v>
      </c>
      <c r="CO2" t="e">
        <f>AND(Hoja1!R12,"AAAAAD33nVw=")</f>
        <v>#VALUE!</v>
      </c>
      <c r="CP2" t="e">
        <f>AND(Hoja1!S12,"AAAAAD33nV0=")</f>
        <v>#VALUE!</v>
      </c>
      <c r="CQ2" t="e">
        <f>AND(Hoja1!T12,"AAAAAD33nV4=")</f>
        <v>#VALUE!</v>
      </c>
      <c r="CR2" t="e">
        <f>AND(Hoja1!U12,"AAAAAD33nV8=")</f>
        <v>#VALUE!</v>
      </c>
      <c r="CS2" t="e">
        <f>AND(Hoja1!V12,"AAAAAD33nWA=")</f>
        <v>#VALUE!</v>
      </c>
      <c r="CT2" t="e">
        <f>AND(Hoja1!W12,"AAAAAD33nWE=")</f>
        <v>#VALUE!</v>
      </c>
      <c r="CU2" t="e">
        <f>AND(Hoja1!X12,"AAAAAD33nWI=")</f>
        <v>#VALUE!</v>
      </c>
      <c r="CV2" t="e">
        <f>AND(Hoja1!Y12,"AAAAAD33nWM=")</f>
        <v>#VALUE!</v>
      </c>
      <c r="CW2" t="e">
        <f>AND(Hoja1!Z12,"AAAAAD33nWQ=")</f>
        <v>#VALUE!</v>
      </c>
      <c r="CX2" t="e">
        <f>AND(Hoja1!AA12,"AAAAAD33nWU=")</f>
        <v>#VALUE!</v>
      </c>
      <c r="CY2" t="e">
        <f>AND(Hoja1!AB12,"AAAAAD33nWY=")</f>
        <v>#VALUE!</v>
      </c>
      <c r="CZ2" t="e">
        <f>AND(Hoja1!AC12,"AAAAAD33nWc=")</f>
        <v>#VALUE!</v>
      </c>
      <c r="DA2">
        <f>IF(Hoja1!13:13,"AAAAAD33nWg=",0)</f>
        <v>0</v>
      </c>
      <c r="DB2" t="e">
        <f>AND(Hoja1!A13,"AAAAAD33nWk=")</f>
        <v>#VALUE!</v>
      </c>
      <c r="DC2" t="e">
        <f>AND(Hoja1!B13,"AAAAAD33nWo=")</f>
        <v>#VALUE!</v>
      </c>
      <c r="DD2" t="e">
        <f>AND(Hoja1!C13,"AAAAAD33nWs=")</f>
        <v>#VALUE!</v>
      </c>
      <c r="DE2" t="e">
        <f>AND(Hoja1!D13,"AAAAAD33nWw=")</f>
        <v>#VALUE!</v>
      </c>
      <c r="DF2" t="e">
        <f>AND(Hoja1!E13,"AAAAAD33nW0=")</f>
        <v>#VALUE!</v>
      </c>
      <c r="DG2" t="e">
        <f>AND(Hoja1!F13,"AAAAAD33nW4=")</f>
        <v>#VALUE!</v>
      </c>
      <c r="DH2" t="e">
        <f>AND(Hoja1!G13,"AAAAAD33nW8=")</f>
        <v>#VALUE!</v>
      </c>
      <c r="DI2" t="e">
        <f>AND(Hoja1!H13,"AAAAAD33nXA=")</f>
        <v>#VALUE!</v>
      </c>
      <c r="DJ2" t="e">
        <f>AND(Hoja1!I13,"AAAAAD33nXE=")</f>
        <v>#VALUE!</v>
      </c>
      <c r="DK2" t="e">
        <f>AND(Hoja1!J13,"AAAAAD33nXI=")</f>
        <v>#VALUE!</v>
      </c>
      <c r="DL2" t="e">
        <f>AND(Hoja1!K13,"AAAAAD33nXM=")</f>
        <v>#VALUE!</v>
      </c>
      <c r="DM2" t="e">
        <f>AND(Hoja1!L13,"AAAAAD33nXQ=")</f>
        <v>#VALUE!</v>
      </c>
      <c r="DN2" t="e">
        <f>AND(Hoja1!M13,"AAAAAD33nXU=")</f>
        <v>#VALUE!</v>
      </c>
      <c r="DO2" t="e">
        <f>AND(Hoja1!N13,"AAAAAD33nXY=")</f>
        <v>#VALUE!</v>
      </c>
      <c r="DP2" t="e">
        <f>AND(Hoja1!O13,"AAAAAD33nXc=")</f>
        <v>#VALUE!</v>
      </c>
      <c r="DQ2" t="e">
        <f>AND(Hoja1!P13,"AAAAAD33nXg=")</f>
        <v>#VALUE!</v>
      </c>
      <c r="DR2" t="e">
        <f>AND(Hoja1!Q13,"AAAAAD33nXk=")</f>
        <v>#VALUE!</v>
      </c>
      <c r="DS2" t="e">
        <f>AND(Hoja1!R13,"AAAAAD33nXo=")</f>
        <v>#VALUE!</v>
      </c>
      <c r="DT2" t="e">
        <f>AND(Hoja1!S13,"AAAAAD33nXs=")</f>
        <v>#VALUE!</v>
      </c>
      <c r="DU2" t="e">
        <f>AND(Hoja1!T13,"AAAAAD33nXw=")</f>
        <v>#VALUE!</v>
      </c>
      <c r="DV2" t="e">
        <f>AND(Hoja1!U13,"AAAAAD33nX0=")</f>
        <v>#VALUE!</v>
      </c>
      <c r="DW2" t="e">
        <f>AND(Hoja1!V13,"AAAAAD33nX4=")</f>
        <v>#VALUE!</v>
      </c>
      <c r="DX2" t="e">
        <f>AND(Hoja1!W13,"AAAAAD33nX8=")</f>
        <v>#VALUE!</v>
      </c>
      <c r="DY2" t="e">
        <f>AND(Hoja1!X13,"AAAAAD33nYA=")</f>
        <v>#VALUE!</v>
      </c>
      <c r="DZ2" t="e">
        <f>AND(Hoja1!Y13,"AAAAAD33nYE=")</f>
        <v>#VALUE!</v>
      </c>
      <c r="EA2" t="e">
        <f>AND(Hoja1!Z13,"AAAAAD33nYI=")</f>
        <v>#VALUE!</v>
      </c>
      <c r="EB2" t="e">
        <f>AND(Hoja1!AA13,"AAAAAD33nYM=")</f>
        <v>#VALUE!</v>
      </c>
      <c r="EC2" t="e">
        <f>AND(Hoja1!AB13,"AAAAAD33nYQ=")</f>
        <v>#VALUE!</v>
      </c>
      <c r="ED2" t="e">
        <f>AND(Hoja1!AC13,"AAAAAD33nYU=")</f>
        <v>#VALUE!</v>
      </c>
      <c r="EE2">
        <f>IF(Hoja1!14:14,"AAAAAD33nYY=",0)</f>
        <v>0</v>
      </c>
      <c r="EF2" t="e">
        <f>AND(Hoja1!A14,"AAAAAD33nYc=")</f>
        <v>#VALUE!</v>
      </c>
      <c r="EG2" t="e">
        <f>AND(Hoja1!B14,"AAAAAD33nYg=")</f>
        <v>#VALUE!</v>
      </c>
      <c r="EH2" t="e">
        <f>AND(Hoja1!C14,"AAAAAD33nYk=")</f>
        <v>#VALUE!</v>
      </c>
      <c r="EI2" t="e">
        <f>AND(Hoja1!D14,"AAAAAD33nYo=")</f>
        <v>#VALUE!</v>
      </c>
      <c r="EJ2" t="e">
        <f>AND(Hoja1!E14,"AAAAAD33nYs=")</f>
        <v>#VALUE!</v>
      </c>
      <c r="EK2" t="e">
        <f>AND(Hoja1!F14,"AAAAAD33nYw=")</f>
        <v>#VALUE!</v>
      </c>
      <c r="EL2" t="e">
        <f>AND(Hoja1!G14,"AAAAAD33nY0=")</f>
        <v>#VALUE!</v>
      </c>
      <c r="EM2" t="e">
        <f>AND(Hoja1!H14,"AAAAAD33nY4=")</f>
        <v>#VALUE!</v>
      </c>
      <c r="EN2" t="e">
        <f>AND(Hoja1!I14,"AAAAAD33nY8=")</f>
        <v>#VALUE!</v>
      </c>
      <c r="EO2" t="e">
        <f>AND(Hoja1!J14,"AAAAAD33nZA=")</f>
        <v>#VALUE!</v>
      </c>
      <c r="EP2" t="e">
        <f>AND(Hoja1!K14,"AAAAAD33nZE=")</f>
        <v>#VALUE!</v>
      </c>
      <c r="EQ2" t="e">
        <f>AND(Hoja1!L14,"AAAAAD33nZI=")</f>
        <v>#VALUE!</v>
      </c>
      <c r="ER2" t="e">
        <f>AND(Hoja1!M14,"AAAAAD33nZM=")</f>
        <v>#VALUE!</v>
      </c>
      <c r="ES2" t="e">
        <f>AND(Hoja1!N14,"AAAAAD33nZQ=")</f>
        <v>#VALUE!</v>
      </c>
      <c r="ET2" t="e">
        <f>AND(Hoja1!O14,"AAAAAD33nZU=")</f>
        <v>#VALUE!</v>
      </c>
      <c r="EU2" t="e">
        <f>AND(Hoja1!P14,"AAAAAD33nZY=")</f>
        <v>#VALUE!</v>
      </c>
      <c r="EV2" t="e">
        <f>AND(Hoja1!Q14,"AAAAAD33nZc=")</f>
        <v>#VALUE!</v>
      </c>
      <c r="EW2" t="e">
        <f>AND(Hoja1!R14,"AAAAAD33nZg=")</f>
        <v>#VALUE!</v>
      </c>
      <c r="EX2" t="e">
        <f>AND(Hoja1!S14,"AAAAAD33nZk=")</f>
        <v>#VALUE!</v>
      </c>
      <c r="EY2" t="e">
        <f>AND(Hoja1!T14,"AAAAAD33nZo=")</f>
        <v>#VALUE!</v>
      </c>
      <c r="EZ2" t="e">
        <f>AND(Hoja1!U14,"AAAAAD33nZs=")</f>
        <v>#VALUE!</v>
      </c>
      <c r="FA2" t="e">
        <f>AND(Hoja1!V14,"AAAAAD33nZw=")</f>
        <v>#VALUE!</v>
      </c>
      <c r="FB2" t="e">
        <f>AND(Hoja1!W14,"AAAAAD33nZ0=")</f>
        <v>#VALUE!</v>
      </c>
      <c r="FC2" t="e">
        <f>AND(Hoja1!X14,"AAAAAD33nZ4=")</f>
        <v>#VALUE!</v>
      </c>
      <c r="FD2" t="e">
        <f>AND(Hoja1!Y14,"AAAAAD33nZ8=")</f>
        <v>#VALUE!</v>
      </c>
      <c r="FE2" t="e">
        <f>AND(Hoja1!Z14,"AAAAAD33naA=")</f>
        <v>#VALUE!</v>
      </c>
      <c r="FF2" t="e">
        <f>AND(Hoja1!AA14,"AAAAAD33naE=")</f>
        <v>#VALUE!</v>
      </c>
      <c r="FG2" t="e">
        <f>AND(Hoja1!AB14,"AAAAAD33naI=")</f>
        <v>#VALUE!</v>
      </c>
      <c r="FH2" t="e">
        <f>AND(Hoja1!AC14,"AAAAAD33naM=")</f>
        <v>#VALUE!</v>
      </c>
      <c r="FI2">
        <f>IF(Hoja1!15:15,"AAAAAD33naQ=",0)</f>
        <v>0</v>
      </c>
      <c r="FJ2" t="e">
        <f>AND(Hoja1!A15,"AAAAAD33naU=")</f>
        <v>#VALUE!</v>
      </c>
      <c r="FK2" t="e">
        <f>AND(Hoja1!B15,"AAAAAD33naY=")</f>
        <v>#VALUE!</v>
      </c>
      <c r="FL2" t="e">
        <f>AND(Hoja1!C15,"AAAAAD33nac=")</f>
        <v>#VALUE!</v>
      </c>
      <c r="FM2" t="e">
        <f>AND(Hoja1!D15,"AAAAAD33nag=")</f>
        <v>#VALUE!</v>
      </c>
      <c r="FN2" t="e">
        <f>AND(Hoja1!E15,"AAAAAD33nak=")</f>
        <v>#VALUE!</v>
      </c>
      <c r="FO2" t="e">
        <f>AND(Hoja1!F15,"AAAAAD33nao=")</f>
        <v>#VALUE!</v>
      </c>
      <c r="FP2" t="e">
        <f>AND(Hoja1!G15,"AAAAAD33nas=")</f>
        <v>#VALUE!</v>
      </c>
      <c r="FQ2" t="e">
        <f>AND(Hoja1!H15,"AAAAAD33naw=")</f>
        <v>#VALUE!</v>
      </c>
      <c r="FR2" t="e">
        <f>AND(Hoja1!I15,"AAAAAD33na0=")</f>
        <v>#VALUE!</v>
      </c>
      <c r="FS2" t="e">
        <f>AND(Hoja1!J15,"AAAAAD33na4=")</f>
        <v>#VALUE!</v>
      </c>
      <c r="FT2" t="e">
        <f>AND(Hoja1!K15,"AAAAAD33na8=")</f>
        <v>#VALUE!</v>
      </c>
      <c r="FU2" t="e">
        <f>AND(Hoja1!L15,"AAAAAD33nbA=")</f>
        <v>#VALUE!</v>
      </c>
      <c r="FV2" t="e">
        <f>AND(Hoja1!M15,"AAAAAD33nbE=")</f>
        <v>#VALUE!</v>
      </c>
      <c r="FW2" t="e">
        <f>AND(Hoja1!N15,"AAAAAD33nbI=")</f>
        <v>#VALUE!</v>
      </c>
      <c r="FX2" t="e">
        <f>AND(Hoja1!O15,"AAAAAD33nbM=")</f>
        <v>#VALUE!</v>
      </c>
      <c r="FY2" t="e">
        <f>AND(Hoja1!P15,"AAAAAD33nbQ=")</f>
        <v>#VALUE!</v>
      </c>
      <c r="FZ2" t="e">
        <f>AND(Hoja1!Q15,"AAAAAD33nbU=")</f>
        <v>#VALUE!</v>
      </c>
      <c r="GA2" t="e">
        <f>AND(Hoja1!R15,"AAAAAD33nbY=")</f>
        <v>#VALUE!</v>
      </c>
      <c r="GB2" t="e">
        <f>AND(Hoja1!S15,"AAAAAD33nbc=")</f>
        <v>#VALUE!</v>
      </c>
      <c r="GC2" t="e">
        <f>AND(Hoja1!T15,"AAAAAD33nbg=")</f>
        <v>#VALUE!</v>
      </c>
      <c r="GD2" t="e">
        <f>AND(Hoja1!U15,"AAAAAD33nbk=")</f>
        <v>#VALUE!</v>
      </c>
      <c r="GE2" t="e">
        <f>AND(Hoja1!V15,"AAAAAD33nbo=")</f>
        <v>#VALUE!</v>
      </c>
      <c r="GF2" t="e">
        <f>AND(Hoja1!W15,"AAAAAD33nbs=")</f>
        <v>#VALUE!</v>
      </c>
      <c r="GG2" t="e">
        <f>AND(Hoja1!X15,"AAAAAD33nbw=")</f>
        <v>#VALUE!</v>
      </c>
      <c r="GH2" t="e">
        <f>AND(Hoja1!Y15,"AAAAAD33nb0=")</f>
        <v>#VALUE!</v>
      </c>
      <c r="GI2" t="e">
        <f>AND(Hoja1!Z15,"AAAAAD33nb4=")</f>
        <v>#VALUE!</v>
      </c>
      <c r="GJ2" t="e">
        <f>AND(Hoja1!AA15,"AAAAAD33nb8=")</f>
        <v>#VALUE!</v>
      </c>
      <c r="GK2" t="e">
        <f>AND(Hoja1!AB15,"AAAAAD33ncA=")</f>
        <v>#VALUE!</v>
      </c>
      <c r="GL2" t="e">
        <f>AND(Hoja1!AC15,"AAAAAD33ncE=")</f>
        <v>#VALUE!</v>
      </c>
      <c r="GM2">
        <f>IF(Hoja1!16:16,"AAAAAD33ncI=",0)</f>
        <v>0</v>
      </c>
      <c r="GN2" t="e">
        <f>AND(Hoja1!A16,"AAAAAD33ncM=")</f>
        <v>#VALUE!</v>
      </c>
      <c r="GO2" t="e">
        <f>AND(Hoja1!B16,"AAAAAD33ncQ=")</f>
        <v>#VALUE!</v>
      </c>
      <c r="GP2" t="e">
        <f>AND(Hoja1!C16,"AAAAAD33ncU=")</f>
        <v>#VALUE!</v>
      </c>
      <c r="GQ2" t="e">
        <f>AND(Hoja1!D16,"AAAAAD33ncY=")</f>
        <v>#VALUE!</v>
      </c>
      <c r="GR2" t="e">
        <f>AND(Hoja1!E16,"AAAAAD33ncc=")</f>
        <v>#VALUE!</v>
      </c>
      <c r="GS2" t="e">
        <f>AND(Hoja1!F16,"AAAAAD33ncg=")</f>
        <v>#VALUE!</v>
      </c>
      <c r="GT2" t="e">
        <f>AND(Hoja1!G16,"AAAAAD33nck=")</f>
        <v>#VALUE!</v>
      </c>
      <c r="GU2" t="e">
        <f>AND(Hoja1!H16,"AAAAAD33nco=")</f>
        <v>#VALUE!</v>
      </c>
      <c r="GV2" t="e">
        <f>AND(Hoja1!I16,"AAAAAD33ncs=")</f>
        <v>#VALUE!</v>
      </c>
      <c r="GW2" t="e">
        <f>AND(Hoja1!J16,"AAAAAD33ncw=")</f>
        <v>#VALUE!</v>
      </c>
      <c r="GX2" t="e">
        <f>AND(Hoja1!K16,"AAAAAD33nc0=")</f>
        <v>#VALUE!</v>
      </c>
      <c r="GY2" t="e">
        <f>AND(Hoja1!L16,"AAAAAD33nc4=")</f>
        <v>#VALUE!</v>
      </c>
      <c r="GZ2" t="e">
        <f>AND(Hoja1!M16,"AAAAAD33nc8=")</f>
        <v>#VALUE!</v>
      </c>
      <c r="HA2" t="e">
        <f>AND(Hoja1!N16,"AAAAAD33ndA=")</f>
        <v>#VALUE!</v>
      </c>
      <c r="HB2" t="e">
        <f>AND(Hoja1!O16,"AAAAAD33ndE=")</f>
        <v>#VALUE!</v>
      </c>
      <c r="HC2" t="e">
        <f>AND(Hoja1!P16,"AAAAAD33ndI=")</f>
        <v>#VALUE!</v>
      </c>
      <c r="HD2" t="e">
        <f>AND(Hoja1!Q16,"AAAAAD33ndM=")</f>
        <v>#VALUE!</v>
      </c>
      <c r="HE2" t="e">
        <f>AND(Hoja1!R16,"AAAAAD33ndQ=")</f>
        <v>#VALUE!</v>
      </c>
      <c r="HF2" t="e">
        <f>AND(Hoja1!S16,"AAAAAD33ndU=")</f>
        <v>#VALUE!</v>
      </c>
      <c r="HG2" t="e">
        <f>AND(Hoja1!T16,"AAAAAD33ndY=")</f>
        <v>#VALUE!</v>
      </c>
      <c r="HH2" t="e">
        <f>AND(Hoja1!U16,"AAAAAD33ndc=")</f>
        <v>#VALUE!</v>
      </c>
      <c r="HI2" t="e">
        <f>AND(Hoja1!V16,"AAAAAD33ndg=")</f>
        <v>#VALUE!</v>
      </c>
      <c r="HJ2" t="e">
        <f>AND(Hoja1!W16,"AAAAAD33ndk=")</f>
        <v>#VALUE!</v>
      </c>
      <c r="HK2" t="e">
        <f>AND(Hoja1!X16,"AAAAAD33ndo=")</f>
        <v>#VALUE!</v>
      </c>
      <c r="HL2" t="e">
        <f>AND(Hoja1!Y16,"AAAAAD33nds=")</f>
        <v>#VALUE!</v>
      </c>
      <c r="HM2" t="e">
        <f>AND(Hoja1!Z16,"AAAAAD33ndw=")</f>
        <v>#VALUE!</v>
      </c>
      <c r="HN2" t="e">
        <f>AND(Hoja1!AA16,"AAAAAD33nd0=")</f>
        <v>#VALUE!</v>
      </c>
      <c r="HO2" t="e">
        <f>AND(Hoja1!AB16,"AAAAAD33nd4=")</f>
        <v>#VALUE!</v>
      </c>
      <c r="HP2" t="e">
        <f>AND(Hoja1!AC16,"AAAAAD33nd8=")</f>
        <v>#VALUE!</v>
      </c>
      <c r="HQ2">
        <f>IF(Hoja1!17:17,"AAAAAD33neA=",0)</f>
        <v>0</v>
      </c>
      <c r="HR2" t="e">
        <f>AND(Hoja1!A17,"AAAAAD33neE=")</f>
        <v>#VALUE!</v>
      </c>
      <c r="HS2" t="e">
        <f>AND(Hoja1!B17,"AAAAAD33neI=")</f>
        <v>#VALUE!</v>
      </c>
      <c r="HT2" t="e">
        <f>AND(Hoja1!C17,"AAAAAD33neM=")</f>
        <v>#VALUE!</v>
      </c>
      <c r="HU2" t="e">
        <f>AND(Hoja1!D17,"AAAAAD33neQ=")</f>
        <v>#VALUE!</v>
      </c>
      <c r="HV2" t="e">
        <f>AND(Hoja1!E17,"AAAAAD33neU=")</f>
        <v>#VALUE!</v>
      </c>
      <c r="HW2" t="e">
        <f>AND(Hoja1!F17,"AAAAAD33neY=")</f>
        <v>#VALUE!</v>
      </c>
      <c r="HX2" t="e">
        <f>AND(Hoja1!G17,"AAAAAD33nec=")</f>
        <v>#VALUE!</v>
      </c>
      <c r="HY2" t="e">
        <f>AND(Hoja1!H17,"AAAAAD33neg=")</f>
        <v>#VALUE!</v>
      </c>
      <c r="HZ2" t="e">
        <f>AND(Hoja1!I17,"AAAAAD33nek=")</f>
        <v>#VALUE!</v>
      </c>
      <c r="IA2" t="e">
        <f>AND(Hoja1!J17,"AAAAAD33neo=")</f>
        <v>#VALUE!</v>
      </c>
      <c r="IB2" t="e">
        <f>AND(Hoja1!K17,"AAAAAD33nes=")</f>
        <v>#VALUE!</v>
      </c>
      <c r="IC2" t="e">
        <f>AND(Hoja1!L17,"AAAAAD33new=")</f>
        <v>#VALUE!</v>
      </c>
      <c r="ID2" t="e">
        <f>AND(Hoja1!M17,"AAAAAD33ne0=")</f>
        <v>#VALUE!</v>
      </c>
      <c r="IE2" t="e">
        <f>AND(Hoja1!N17,"AAAAAD33ne4=")</f>
        <v>#VALUE!</v>
      </c>
      <c r="IF2" t="e">
        <f>AND(Hoja1!O17,"AAAAAD33ne8=")</f>
        <v>#VALUE!</v>
      </c>
      <c r="IG2" t="e">
        <f>AND(Hoja1!P17,"AAAAAD33nfA=")</f>
        <v>#VALUE!</v>
      </c>
      <c r="IH2" t="e">
        <f>AND(Hoja1!Q17,"AAAAAD33nfE=")</f>
        <v>#VALUE!</v>
      </c>
      <c r="II2" t="e">
        <f>AND(Hoja1!R17,"AAAAAD33nfI=")</f>
        <v>#VALUE!</v>
      </c>
      <c r="IJ2" t="e">
        <f>AND(Hoja1!S17,"AAAAAD33nfM=")</f>
        <v>#VALUE!</v>
      </c>
      <c r="IK2" t="e">
        <f>AND(Hoja1!T17,"AAAAAD33nfQ=")</f>
        <v>#VALUE!</v>
      </c>
      <c r="IL2" t="e">
        <f>AND(Hoja1!U17,"AAAAAD33nfU=")</f>
        <v>#VALUE!</v>
      </c>
      <c r="IM2" t="e">
        <f>AND(Hoja1!V17,"AAAAAD33nfY=")</f>
        <v>#VALUE!</v>
      </c>
      <c r="IN2" t="e">
        <f>AND(Hoja1!W17,"AAAAAD33nfc=")</f>
        <v>#VALUE!</v>
      </c>
      <c r="IO2" t="e">
        <f>AND(Hoja1!X17,"AAAAAD33nfg=")</f>
        <v>#VALUE!</v>
      </c>
      <c r="IP2" t="e">
        <f>AND(Hoja1!Y17,"AAAAAD33nfk=")</f>
        <v>#VALUE!</v>
      </c>
      <c r="IQ2" t="e">
        <f>AND(Hoja1!Z17,"AAAAAD33nfo=")</f>
        <v>#VALUE!</v>
      </c>
      <c r="IR2" t="e">
        <f>AND(Hoja1!AA17,"AAAAAD33nfs=")</f>
        <v>#VALUE!</v>
      </c>
      <c r="IS2" t="e">
        <f>AND(Hoja1!AB17,"AAAAAD33nfw=")</f>
        <v>#VALUE!</v>
      </c>
      <c r="IT2" t="e">
        <f>AND(Hoja1!AC17,"AAAAAD33nf0=")</f>
        <v>#VALUE!</v>
      </c>
      <c r="IU2">
        <f>IF(Hoja1!18:18,"AAAAAD33nf4=",0)</f>
        <v>0</v>
      </c>
      <c r="IV2" t="e">
        <f>AND(Hoja1!A18,"AAAAAD33nf8=")</f>
        <v>#VALUE!</v>
      </c>
    </row>
    <row r="3" spans="1:256">
      <c r="A3" t="e">
        <f>AND(Hoja1!B18,"AAAAAHJ7+AA=")</f>
        <v>#VALUE!</v>
      </c>
      <c r="B3" t="e">
        <f>AND(Hoja1!C18,"AAAAAHJ7+AE=")</f>
        <v>#VALUE!</v>
      </c>
      <c r="C3" t="e">
        <f>AND(Hoja1!D18,"AAAAAHJ7+AI=")</f>
        <v>#VALUE!</v>
      </c>
      <c r="D3" t="e">
        <f>AND(Hoja1!E18,"AAAAAHJ7+AM=")</f>
        <v>#VALUE!</v>
      </c>
      <c r="E3" t="e">
        <f>AND(Hoja1!F18,"AAAAAHJ7+AQ=")</f>
        <v>#VALUE!</v>
      </c>
      <c r="F3" t="e">
        <f>AND(Hoja1!G18,"AAAAAHJ7+AU=")</f>
        <v>#VALUE!</v>
      </c>
      <c r="G3" t="e">
        <f>AND(Hoja1!H18,"AAAAAHJ7+AY=")</f>
        <v>#VALUE!</v>
      </c>
      <c r="H3" t="e">
        <f>AND(Hoja1!I18,"AAAAAHJ7+Ac=")</f>
        <v>#VALUE!</v>
      </c>
      <c r="I3" t="e">
        <f>AND(Hoja1!J18,"AAAAAHJ7+Ag=")</f>
        <v>#VALUE!</v>
      </c>
      <c r="J3" t="e">
        <f>AND(Hoja1!K18,"AAAAAHJ7+Ak=")</f>
        <v>#VALUE!</v>
      </c>
      <c r="K3" t="e">
        <f>AND(Hoja1!L18,"AAAAAHJ7+Ao=")</f>
        <v>#VALUE!</v>
      </c>
      <c r="L3" t="e">
        <f>AND(Hoja1!M18,"AAAAAHJ7+As=")</f>
        <v>#VALUE!</v>
      </c>
      <c r="M3" t="e">
        <f>AND(Hoja1!N18,"AAAAAHJ7+Aw=")</f>
        <v>#VALUE!</v>
      </c>
      <c r="N3" t="e">
        <f>AND(Hoja1!O18,"AAAAAHJ7+A0=")</f>
        <v>#VALUE!</v>
      </c>
      <c r="O3" t="e">
        <f>AND(Hoja1!P18,"AAAAAHJ7+A4=")</f>
        <v>#VALUE!</v>
      </c>
      <c r="P3" t="e">
        <f>AND(Hoja1!Q18,"AAAAAHJ7+A8=")</f>
        <v>#VALUE!</v>
      </c>
      <c r="Q3" t="e">
        <f>AND(Hoja1!R18,"AAAAAHJ7+BA=")</f>
        <v>#VALUE!</v>
      </c>
      <c r="R3" t="e">
        <f>AND(Hoja1!S18,"AAAAAHJ7+BE=")</f>
        <v>#VALUE!</v>
      </c>
      <c r="S3" t="e">
        <f>AND(Hoja1!T18,"AAAAAHJ7+BI=")</f>
        <v>#VALUE!</v>
      </c>
      <c r="T3" t="e">
        <f>AND(Hoja1!U18,"AAAAAHJ7+BM=")</f>
        <v>#VALUE!</v>
      </c>
      <c r="U3" t="e">
        <f>AND(Hoja1!V18,"AAAAAHJ7+BQ=")</f>
        <v>#VALUE!</v>
      </c>
      <c r="V3" t="e">
        <f>AND(Hoja1!W18,"AAAAAHJ7+BU=")</f>
        <v>#VALUE!</v>
      </c>
      <c r="W3" t="e">
        <f>AND(Hoja1!X18,"AAAAAHJ7+BY=")</f>
        <v>#VALUE!</v>
      </c>
      <c r="X3" t="e">
        <f>AND(Hoja1!Y18,"AAAAAHJ7+Bc=")</f>
        <v>#VALUE!</v>
      </c>
      <c r="Y3" t="e">
        <f>AND(Hoja1!Z18,"AAAAAHJ7+Bg=")</f>
        <v>#VALUE!</v>
      </c>
      <c r="Z3" t="e">
        <f>AND(Hoja1!AA18,"AAAAAHJ7+Bk=")</f>
        <v>#VALUE!</v>
      </c>
      <c r="AA3" t="e">
        <f>AND(Hoja1!AB18,"AAAAAHJ7+Bo=")</f>
        <v>#VALUE!</v>
      </c>
      <c r="AB3" t="e">
        <f>AND(Hoja1!AC18,"AAAAAHJ7+Bs=")</f>
        <v>#VALUE!</v>
      </c>
      <c r="AC3">
        <f>IF(Hoja1!19:19,"AAAAAHJ7+Bw=",0)</f>
        <v>0</v>
      </c>
      <c r="AD3" t="e">
        <f>AND(Hoja1!A19,"AAAAAHJ7+B0=")</f>
        <v>#VALUE!</v>
      </c>
      <c r="AE3" t="e">
        <f>AND(Hoja1!B19,"AAAAAHJ7+B4=")</f>
        <v>#VALUE!</v>
      </c>
      <c r="AF3" t="e">
        <f>AND(Hoja1!C19,"AAAAAHJ7+B8=")</f>
        <v>#VALUE!</v>
      </c>
      <c r="AG3" t="e">
        <f>AND(Hoja1!D19,"AAAAAHJ7+CA=")</f>
        <v>#VALUE!</v>
      </c>
      <c r="AH3" t="e">
        <f>AND(Hoja1!E19,"AAAAAHJ7+CE=")</f>
        <v>#VALUE!</v>
      </c>
      <c r="AI3" t="e">
        <f>AND(Hoja1!F19,"AAAAAHJ7+CI=")</f>
        <v>#VALUE!</v>
      </c>
      <c r="AJ3" t="e">
        <f>AND(Hoja1!G19,"AAAAAHJ7+CM=")</f>
        <v>#VALUE!</v>
      </c>
      <c r="AK3" t="e">
        <f>AND(Hoja1!H19,"AAAAAHJ7+CQ=")</f>
        <v>#VALUE!</v>
      </c>
      <c r="AL3" t="e">
        <f>AND(Hoja1!I19,"AAAAAHJ7+CU=")</f>
        <v>#VALUE!</v>
      </c>
      <c r="AM3" t="e">
        <f>AND(Hoja1!J19,"AAAAAHJ7+CY=")</f>
        <v>#VALUE!</v>
      </c>
      <c r="AN3" t="e">
        <f>AND(Hoja1!K19,"AAAAAHJ7+Cc=")</f>
        <v>#VALUE!</v>
      </c>
      <c r="AO3" t="e">
        <f>AND(Hoja1!L19,"AAAAAHJ7+Cg=")</f>
        <v>#VALUE!</v>
      </c>
      <c r="AP3" t="e">
        <f>AND(Hoja1!M19,"AAAAAHJ7+Ck=")</f>
        <v>#VALUE!</v>
      </c>
      <c r="AQ3" t="e">
        <f>AND(Hoja1!N19,"AAAAAHJ7+Co=")</f>
        <v>#VALUE!</v>
      </c>
      <c r="AR3" t="e">
        <f>AND(Hoja1!O19,"AAAAAHJ7+Cs=")</f>
        <v>#VALUE!</v>
      </c>
      <c r="AS3" t="e">
        <f>AND(Hoja1!P19,"AAAAAHJ7+Cw=")</f>
        <v>#VALUE!</v>
      </c>
      <c r="AT3" t="e">
        <f>AND(Hoja1!Q19,"AAAAAHJ7+C0=")</f>
        <v>#VALUE!</v>
      </c>
      <c r="AU3" t="e">
        <f>AND(Hoja1!R19,"AAAAAHJ7+C4=")</f>
        <v>#VALUE!</v>
      </c>
      <c r="AV3" t="e">
        <f>AND(Hoja1!S19,"AAAAAHJ7+C8=")</f>
        <v>#VALUE!</v>
      </c>
      <c r="AW3" t="e">
        <f>AND(Hoja1!T19,"AAAAAHJ7+DA=")</f>
        <v>#VALUE!</v>
      </c>
      <c r="AX3" t="e">
        <f>AND(Hoja1!U19,"AAAAAHJ7+DE=")</f>
        <v>#VALUE!</v>
      </c>
      <c r="AY3" t="e">
        <f>AND(Hoja1!V19,"AAAAAHJ7+DI=")</f>
        <v>#VALUE!</v>
      </c>
      <c r="AZ3" t="e">
        <f>AND(Hoja1!W19,"AAAAAHJ7+DM=")</f>
        <v>#VALUE!</v>
      </c>
      <c r="BA3" t="e">
        <f>AND(Hoja1!X19,"AAAAAHJ7+DQ=")</f>
        <v>#VALUE!</v>
      </c>
      <c r="BB3" t="e">
        <f>AND(Hoja1!Y19,"AAAAAHJ7+DU=")</f>
        <v>#VALUE!</v>
      </c>
      <c r="BC3" t="e">
        <f>AND(Hoja1!Z19,"AAAAAHJ7+DY=")</f>
        <v>#VALUE!</v>
      </c>
      <c r="BD3" t="e">
        <f>AND(Hoja1!AA19,"AAAAAHJ7+Dc=")</f>
        <v>#VALUE!</v>
      </c>
      <c r="BE3" t="e">
        <f>AND(Hoja1!AB19,"AAAAAHJ7+Dg=")</f>
        <v>#VALUE!</v>
      </c>
      <c r="BF3" t="e">
        <f>AND(Hoja1!AC19,"AAAAAHJ7+Dk=")</f>
        <v>#VALUE!</v>
      </c>
      <c r="BG3">
        <f>IF(Hoja1!20:20,"AAAAAHJ7+Do=",0)</f>
        <v>0</v>
      </c>
      <c r="BH3" t="e">
        <f>AND(Hoja1!A20,"AAAAAHJ7+Ds=")</f>
        <v>#VALUE!</v>
      </c>
      <c r="BI3" t="e">
        <f>AND(Hoja1!B20,"AAAAAHJ7+Dw=")</f>
        <v>#VALUE!</v>
      </c>
      <c r="BJ3" t="e">
        <f>AND(Hoja1!C20,"AAAAAHJ7+D0=")</f>
        <v>#VALUE!</v>
      </c>
      <c r="BK3" t="e">
        <f>AND(Hoja1!D20,"AAAAAHJ7+D4=")</f>
        <v>#VALUE!</v>
      </c>
      <c r="BL3" t="e">
        <f>AND(Hoja1!E20,"AAAAAHJ7+D8=")</f>
        <v>#VALUE!</v>
      </c>
      <c r="BM3" t="e">
        <f>AND(Hoja1!F20,"AAAAAHJ7+EA=")</f>
        <v>#VALUE!</v>
      </c>
      <c r="BN3" t="e">
        <f>AND(Hoja1!G20,"AAAAAHJ7+EE=")</f>
        <v>#VALUE!</v>
      </c>
      <c r="BO3" t="e">
        <f>AND(Hoja1!H20,"AAAAAHJ7+EI=")</f>
        <v>#VALUE!</v>
      </c>
      <c r="BP3" t="e">
        <f>AND(Hoja1!I20,"AAAAAHJ7+EM=")</f>
        <v>#VALUE!</v>
      </c>
      <c r="BQ3" t="e">
        <f>AND(Hoja1!J20,"AAAAAHJ7+EQ=")</f>
        <v>#VALUE!</v>
      </c>
      <c r="BR3" t="e">
        <f>AND(Hoja1!K20,"AAAAAHJ7+EU=")</f>
        <v>#VALUE!</v>
      </c>
      <c r="BS3" t="e">
        <f>AND(Hoja1!L20,"AAAAAHJ7+EY=")</f>
        <v>#VALUE!</v>
      </c>
      <c r="BT3" t="e">
        <f>AND(Hoja1!M20,"AAAAAHJ7+Ec=")</f>
        <v>#VALUE!</v>
      </c>
      <c r="BU3" t="e">
        <f>AND(Hoja1!N20,"AAAAAHJ7+Eg=")</f>
        <v>#VALUE!</v>
      </c>
      <c r="BV3" t="e">
        <f>AND(Hoja1!O20,"AAAAAHJ7+Ek=")</f>
        <v>#VALUE!</v>
      </c>
      <c r="BW3" t="e">
        <f>AND(Hoja1!P20,"AAAAAHJ7+Eo=")</f>
        <v>#VALUE!</v>
      </c>
      <c r="BX3" t="e">
        <f>AND(Hoja1!Q20,"AAAAAHJ7+Es=")</f>
        <v>#VALUE!</v>
      </c>
      <c r="BY3" t="e">
        <f>AND(Hoja1!R20,"AAAAAHJ7+Ew=")</f>
        <v>#VALUE!</v>
      </c>
      <c r="BZ3" t="e">
        <f>AND(Hoja1!S20,"AAAAAHJ7+E0=")</f>
        <v>#VALUE!</v>
      </c>
      <c r="CA3" t="e">
        <f>AND(Hoja1!T20,"AAAAAHJ7+E4=")</f>
        <v>#VALUE!</v>
      </c>
      <c r="CB3" t="e">
        <f>AND(Hoja1!U20,"AAAAAHJ7+E8=")</f>
        <v>#VALUE!</v>
      </c>
      <c r="CC3" t="e">
        <f>AND(Hoja1!V20,"AAAAAHJ7+FA=")</f>
        <v>#VALUE!</v>
      </c>
      <c r="CD3" t="e">
        <f>AND(Hoja1!W20,"AAAAAHJ7+FE=")</f>
        <v>#VALUE!</v>
      </c>
      <c r="CE3" t="e">
        <f>AND(Hoja1!X20,"AAAAAHJ7+FI=")</f>
        <v>#VALUE!</v>
      </c>
      <c r="CF3" t="e">
        <f>AND(Hoja1!Y20,"AAAAAHJ7+FM=")</f>
        <v>#VALUE!</v>
      </c>
      <c r="CG3" t="e">
        <f>AND(Hoja1!Z20,"AAAAAHJ7+FQ=")</f>
        <v>#VALUE!</v>
      </c>
      <c r="CH3" t="e">
        <f>AND(Hoja1!AA20,"AAAAAHJ7+FU=")</f>
        <v>#VALUE!</v>
      </c>
      <c r="CI3" t="e">
        <f>AND(Hoja1!AB20,"AAAAAHJ7+FY=")</f>
        <v>#VALUE!</v>
      </c>
      <c r="CJ3" t="e">
        <f>AND(Hoja1!AC20,"AAAAAHJ7+Fc=")</f>
        <v>#VALUE!</v>
      </c>
      <c r="CK3">
        <f>IF(Hoja1!21:21,"AAAAAHJ7+Fg=",0)</f>
        <v>0</v>
      </c>
      <c r="CL3" t="e">
        <f>AND(Hoja1!A21,"AAAAAHJ7+Fk=")</f>
        <v>#VALUE!</v>
      </c>
      <c r="CM3" t="e">
        <f>AND(Hoja1!B21,"AAAAAHJ7+Fo=")</f>
        <v>#VALUE!</v>
      </c>
      <c r="CN3" t="e">
        <f>AND(Hoja1!C21,"AAAAAHJ7+Fs=")</f>
        <v>#VALUE!</v>
      </c>
      <c r="CO3" t="e">
        <f>AND(Hoja1!D21,"AAAAAHJ7+Fw=")</f>
        <v>#VALUE!</v>
      </c>
      <c r="CP3" t="e">
        <f>AND(Hoja1!E21,"AAAAAHJ7+F0=")</f>
        <v>#VALUE!</v>
      </c>
      <c r="CQ3" t="e">
        <f>AND(Hoja1!F21,"AAAAAHJ7+F4=")</f>
        <v>#VALUE!</v>
      </c>
      <c r="CR3" t="e">
        <f>AND(Hoja1!G21,"AAAAAHJ7+F8=")</f>
        <v>#VALUE!</v>
      </c>
      <c r="CS3" t="e">
        <f>AND(Hoja1!H21,"AAAAAHJ7+GA=")</f>
        <v>#VALUE!</v>
      </c>
      <c r="CT3" t="e">
        <f>AND(Hoja1!I21,"AAAAAHJ7+GE=")</f>
        <v>#VALUE!</v>
      </c>
      <c r="CU3" t="e">
        <f>AND(Hoja1!J21,"AAAAAHJ7+GI=")</f>
        <v>#VALUE!</v>
      </c>
      <c r="CV3" t="e">
        <f>AND(Hoja1!K21,"AAAAAHJ7+GM=")</f>
        <v>#VALUE!</v>
      </c>
      <c r="CW3" t="e">
        <f>AND(Hoja1!L21,"AAAAAHJ7+GQ=")</f>
        <v>#VALUE!</v>
      </c>
      <c r="CX3" t="e">
        <f>AND(Hoja1!M21,"AAAAAHJ7+GU=")</f>
        <v>#VALUE!</v>
      </c>
      <c r="CY3" t="e">
        <f>AND(Hoja1!N21,"AAAAAHJ7+GY=")</f>
        <v>#VALUE!</v>
      </c>
      <c r="CZ3" t="e">
        <f>AND(Hoja1!O21,"AAAAAHJ7+Gc=")</f>
        <v>#VALUE!</v>
      </c>
      <c r="DA3" t="e">
        <f>AND(Hoja1!P21,"AAAAAHJ7+Gg=")</f>
        <v>#VALUE!</v>
      </c>
      <c r="DB3" t="e">
        <f>AND(Hoja1!Q21,"AAAAAHJ7+Gk=")</f>
        <v>#VALUE!</v>
      </c>
      <c r="DC3" t="e">
        <f>AND(Hoja1!R21,"AAAAAHJ7+Go=")</f>
        <v>#VALUE!</v>
      </c>
      <c r="DD3" t="e">
        <f>AND(Hoja1!S21,"AAAAAHJ7+Gs=")</f>
        <v>#VALUE!</v>
      </c>
      <c r="DE3" t="e">
        <f>AND(Hoja1!T21,"AAAAAHJ7+Gw=")</f>
        <v>#VALUE!</v>
      </c>
      <c r="DF3" t="e">
        <f>AND(Hoja1!U21,"AAAAAHJ7+G0=")</f>
        <v>#VALUE!</v>
      </c>
      <c r="DG3" t="e">
        <f>AND(Hoja1!V21,"AAAAAHJ7+G4=")</f>
        <v>#VALUE!</v>
      </c>
      <c r="DH3" t="e">
        <f>AND(Hoja1!W21,"AAAAAHJ7+G8=")</f>
        <v>#VALUE!</v>
      </c>
      <c r="DI3" t="e">
        <f>AND(Hoja1!X21,"AAAAAHJ7+HA=")</f>
        <v>#VALUE!</v>
      </c>
      <c r="DJ3" t="e">
        <f>AND(Hoja1!Y21,"AAAAAHJ7+HE=")</f>
        <v>#VALUE!</v>
      </c>
      <c r="DK3" t="e">
        <f>AND(Hoja1!Z21,"AAAAAHJ7+HI=")</f>
        <v>#VALUE!</v>
      </c>
      <c r="DL3" t="e">
        <f>AND(Hoja1!AA21,"AAAAAHJ7+HM=")</f>
        <v>#VALUE!</v>
      </c>
      <c r="DM3" t="e">
        <f>AND(Hoja1!AB21,"AAAAAHJ7+HQ=")</f>
        <v>#VALUE!</v>
      </c>
      <c r="DN3" t="e">
        <f>AND(Hoja1!AC21,"AAAAAHJ7+HU=")</f>
        <v>#VALUE!</v>
      </c>
      <c r="DO3">
        <f>IF(Hoja1!22:22,"AAAAAHJ7+HY=",0)</f>
        <v>0</v>
      </c>
      <c r="DP3" t="e">
        <f>AND(Hoja1!A22,"AAAAAHJ7+Hc=")</f>
        <v>#VALUE!</v>
      </c>
      <c r="DQ3" t="e">
        <f>AND(Hoja1!B22,"AAAAAHJ7+Hg=")</f>
        <v>#VALUE!</v>
      </c>
      <c r="DR3" t="e">
        <f>AND(Hoja1!C22,"AAAAAHJ7+Hk=")</f>
        <v>#VALUE!</v>
      </c>
      <c r="DS3" t="e">
        <f>AND(Hoja1!D22,"AAAAAHJ7+Ho=")</f>
        <v>#VALUE!</v>
      </c>
      <c r="DT3" t="e">
        <f>AND(Hoja1!E22,"AAAAAHJ7+Hs=")</f>
        <v>#VALUE!</v>
      </c>
      <c r="DU3" t="e">
        <f>AND(Hoja1!F22,"AAAAAHJ7+Hw=")</f>
        <v>#VALUE!</v>
      </c>
      <c r="DV3" t="e">
        <f>AND(Hoja1!G22,"AAAAAHJ7+H0=")</f>
        <v>#VALUE!</v>
      </c>
      <c r="DW3" t="e">
        <f>AND(Hoja1!H22,"AAAAAHJ7+H4=")</f>
        <v>#VALUE!</v>
      </c>
      <c r="DX3" t="e">
        <f>AND(Hoja1!I22,"AAAAAHJ7+H8=")</f>
        <v>#VALUE!</v>
      </c>
      <c r="DY3" t="e">
        <f>AND(Hoja1!J22,"AAAAAHJ7+IA=")</f>
        <v>#VALUE!</v>
      </c>
      <c r="DZ3" t="e">
        <f>AND(Hoja1!K22,"AAAAAHJ7+IE=")</f>
        <v>#VALUE!</v>
      </c>
      <c r="EA3" t="e">
        <f>AND(Hoja1!L22,"AAAAAHJ7+II=")</f>
        <v>#VALUE!</v>
      </c>
      <c r="EB3" t="e">
        <f>AND(Hoja1!M22,"AAAAAHJ7+IM=")</f>
        <v>#VALUE!</v>
      </c>
      <c r="EC3" t="e">
        <f>AND(Hoja1!N22,"AAAAAHJ7+IQ=")</f>
        <v>#VALUE!</v>
      </c>
      <c r="ED3" t="e">
        <f>AND(Hoja1!O22,"AAAAAHJ7+IU=")</f>
        <v>#VALUE!</v>
      </c>
      <c r="EE3" t="e">
        <f>AND(Hoja1!P22,"AAAAAHJ7+IY=")</f>
        <v>#VALUE!</v>
      </c>
      <c r="EF3" t="e">
        <f>AND(Hoja1!Q22,"AAAAAHJ7+Ic=")</f>
        <v>#VALUE!</v>
      </c>
      <c r="EG3" t="e">
        <f>AND(Hoja1!R22,"AAAAAHJ7+Ig=")</f>
        <v>#VALUE!</v>
      </c>
      <c r="EH3" t="e">
        <f>AND(Hoja1!S22,"AAAAAHJ7+Ik=")</f>
        <v>#VALUE!</v>
      </c>
      <c r="EI3" t="e">
        <f>AND(Hoja1!T22,"AAAAAHJ7+Io=")</f>
        <v>#VALUE!</v>
      </c>
      <c r="EJ3" t="e">
        <f>AND(Hoja1!U22,"AAAAAHJ7+Is=")</f>
        <v>#VALUE!</v>
      </c>
      <c r="EK3" t="e">
        <f>AND(Hoja1!V22,"AAAAAHJ7+Iw=")</f>
        <v>#VALUE!</v>
      </c>
      <c r="EL3" t="e">
        <f>AND(Hoja1!W22,"AAAAAHJ7+I0=")</f>
        <v>#VALUE!</v>
      </c>
      <c r="EM3" t="e">
        <f>AND(Hoja1!X22,"AAAAAHJ7+I4=")</f>
        <v>#VALUE!</v>
      </c>
      <c r="EN3" t="e">
        <f>AND(Hoja1!Y22,"AAAAAHJ7+I8=")</f>
        <v>#VALUE!</v>
      </c>
      <c r="EO3" t="e">
        <f>AND(Hoja1!Z22,"AAAAAHJ7+JA=")</f>
        <v>#VALUE!</v>
      </c>
      <c r="EP3" t="e">
        <f>AND(Hoja1!AA22,"AAAAAHJ7+JE=")</f>
        <v>#VALUE!</v>
      </c>
      <c r="EQ3" t="e">
        <f>AND(Hoja1!AB22,"AAAAAHJ7+JI=")</f>
        <v>#VALUE!</v>
      </c>
      <c r="ER3" t="e">
        <f>AND(Hoja1!AC22,"AAAAAHJ7+JM=")</f>
        <v>#VALUE!</v>
      </c>
      <c r="ES3">
        <f>IF(Hoja1!23:23,"AAAAAHJ7+JQ=",0)</f>
        <v>0</v>
      </c>
      <c r="ET3" t="e">
        <f>AND(Hoja1!A23,"AAAAAHJ7+JU=")</f>
        <v>#VALUE!</v>
      </c>
      <c r="EU3" t="e">
        <f>AND(Hoja1!B23,"AAAAAHJ7+JY=")</f>
        <v>#VALUE!</v>
      </c>
      <c r="EV3" t="e">
        <f>AND(Hoja1!C23,"AAAAAHJ7+Jc=")</f>
        <v>#VALUE!</v>
      </c>
      <c r="EW3" t="e">
        <f>AND(Hoja1!D23,"AAAAAHJ7+Jg=")</f>
        <v>#VALUE!</v>
      </c>
      <c r="EX3" t="e">
        <f>AND(Hoja1!E23,"AAAAAHJ7+Jk=")</f>
        <v>#VALUE!</v>
      </c>
      <c r="EY3" t="e">
        <f>AND(Hoja1!F23,"AAAAAHJ7+Jo=")</f>
        <v>#VALUE!</v>
      </c>
      <c r="EZ3" t="e">
        <f>AND(Hoja1!G23,"AAAAAHJ7+Js=")</f>
        <v>#VALUE!</v>
      </c>
      <c r="FA3" t="e">
        <f>AND(Hoja1!H23,"AAAAAHJ7+Jw=")</f>
        <v>#VALUE!</v>
      </c>
      <c r="FB3" t="e">
        <f>AND(Hoja1!I23,"AAAAAHJ7+J0=")</f>
        <v>#VALUE!</v>
      </c>
      <c r="FC3" t="e">
        <f>AND(Hoja1!J23,"AAAAAHJ7+J4=")</f>
        <v>#VALUE!</v>
      </c>
      <c r="FD3" t="e">
        <f>AND(Hoja1!K23,"AAAAAHJ7+J8=")</f>
        <v>#VALUE!</v>
      </c>
      <c r="FE3" t="e">
        <f>AND(Hoja1!L23,"AAAAAHJ7+KA=")</f>
        <v>#VALUE!</v>
      </c>
      <c r="FF3" t="e">
        <f>AND(Hoja1!M23,"AAAAAHJ7+KE=")</f>
        <v>#VALUE!</v>
      </c>
      <c r="FG3" t="e">
        <f>AND(Hoja1!N23,"AAAAAHJ7+KI=")</f>
        <v>#VALUE!</v>
      </c>
      <c r="FH3" t="e">
        <f>AND(Hoja1!O23,"AAAAAHJ7+KM=")</f>
        <v>#VALUE!</v>
      </c>
      <c r="FI3" t="e">
        <f>AND(Hoja1!P23,"AAAAAHJ7+KQ=")</f>
        <v>#VALUE!</v>
      </c>
      <c r="FJ3" t="e">
        <f>AND(Hoja1!Q23,"AAAAAHJ7+KU=")</f>
        <v>#VALUE!</v>
      </c>
      <c r="FK3" t="e">
        <f>AND(Hoja1!R23,"AAAAAHJ7+KY=")</f>
        <v>#VALUE!</v>
      </c>
      <c r="FL3" t="e">
        <f>AND(Hoja1!S23,"AAAAAHJ7+Kc=")</f>
        <v>#VALUE!</v>
      </c>
      <c r="FM3" t="e">
        <f>AND(Hoja1!T23,"AAAAAHJ7+Kg=")</f>
        <v>#VALUE!</v>
      </c>
      <c r="FN3" t="e">
        <f>AND(Hoja1!U23,"AAAAAHJ7+Kk=")</f>
        <v>#VALUE!</v>
      </c>
      <c r="FO3" t="e">
        <f>AND(Hoja1!V23,"AAAAAHJ7+Ko=")</f>
        <v>#VALUE!</v>
      </c>
      <c r="FP3" t="e">
        <f>AND(Hoja1!W23,"AAAAAHJ7+Ks=")</f>
        <v>#VALUE!</v>
      </c>
      <c r="FQ3" t="e">
        <f>AND(Hoja1!X23,"AAAAAHJ7+Kw=")</f>
        <v>#VALUE!</v>
      </c>
      <c r="FR3" t="e">
        <f>AND(Hoja1!Y23,"AAAAAHJ7+K0=")</f>
        <v>#VALUE!</v>
      </c>
      <c r="FS3" t="e">
        <f>AND(Hoja1!Z23,"AAAAAHJ7+K4=")</f>
        <v>#VALUE!</v>
      </c>
      <c r="FT3" t="e">
        <f>AND(Hoja1!AA23,"AAAAAHJ7+K8=")</f>
        <v>#VALUE!</v>
      </c>
      <c r="FU3" t="e">
        <f>AND(Hoja1!AB23,"AAAAAHJ7+LA=")</f>
        <v>#VALUE!</v>
      </c>
      <c r="FV3" t="e">
        <f>AND(Hoja1!AC23,"AAAAAHJ7+LE=")</f>
        <v>#VALUE!</v>
      </c>
      <c r="FW3">
        <f>IF(Hoja1!24:24,"AAAAAHJ7+LI=",0)</f>
        <v>0</v>
      </c>
      <c r="FX3" t="e">
        <f>AND(Hoja1!A24,"AAAAAHJ7+LM=")</f>
        <v>#VALUE!</v>
      </c>
      <c r="FY3" t="e">
        <f>AND(Hoja1!B24,"AAAAAHJ7+LQ=")</f>
        <v>#VALUE!</v>
      </c>
      <c r="FZ3" t="e">
        <f>AND(Hoja1!C24,"AAAAAHJ7+LU=")</f>
        <v>#VALUE!</v>
      </c>
      <c r="GA3" t="e">
        <f>AND(Hoja1!D24,"AAAAAHJ7+LY=")</f>
        <v>#VALUE!</v>
      </c>
      <c r="GB3" t="e">
        <f>AND(Hoja1!E24,"AAAAAHJ7+Lc=")</f>
        <v>#VALUE!</v>
      </c>
      <c r="GC3" t="e">
        <f>AND(Hoja1!F24,"AAAAAHJ7+Lg=")</f>
        <v>#VALUE!</v>
      </c>
      <c r="GD3" t="e">
        <f>AND(Hoja1!G24,"AAAAAHJ7+Lk=")</f>
        <v>#VALUE!</v>
      </c>
      <c r="GE3" t="e">
        <f>AND(Hoja1!H24,"AAAAAHJ7+Lo=")</f>
        <v>#VALUE!</v>
      </c>
      <c r="GF3" t="e">
        <f>AND(Hoja1!I24,"AAAAAHJ7+Ls=")</f>
        <v>#VALUE!</v>
      </c>
      <c r="GG3" t="e">
        <f>AND(Hoja1!J24,"AAAAAHJ7+Lw=")</f>
        <v>#VALUE!</v>
      </c>
      <c r="GH3" t="e">
        <f>AND(Hoja1!K24,"AAAAAHJ7+L0=")</f>
        <v>#VALUE!</v>
      </c>
      <c r="GI3" t="e">
        <f>AND(Hoja1!L24,"AAAAAHJ7+L4=")</f>
        <v>#VALUE!</v>
      </c>
      <c r="GJ3" t="e">
        <f>AND(Hoja1!M24,"AAAAAHJ7+L8=")</f>
        <v>#VALUE!</v>
      </c>
      <c r="GK3" t="e">
        <f>AND(Hoja1!N24,"AAAAAHJ7+MA=")</f>
        <v>#VALUE!</v>
      </c>
      <c r="GL3" t="e">
        <f>AND(Hoja1!O24,"AAAAAHJ7+ME=")</f>
        <v>#VALUE!</v>
      </c>
      <c r="GM3" t="e">
        <f>AND(Hoja1!P24,"AAAAAHJ7+MI=")</f>
        <v>#VALUE!</v>
      </c>
      <c r="GN3" t="e">
        <f>AND(Hoja1!Q24,"AAAAAHJ7+MM=")</f>
        <v>#VALUE!</v>
      </c>
      <c r="GO3" t="e">
        <f>AND(Hoja1!R24,"AAAAAHJ7+MQ=")</f>
        <v>#VALUE!</v>
      </c>
      <c r="GP3" t="e">
        <f>AND(Hoja1!S24,"AAAAAHJ7+MU=")</f>
        <v>#VALUE!</v>
      </c>
      <c r="GQ3" t="e">
        <f>AND(Hoja1!T24,"AAAAAHJ7+MY=")</f>
        <v>#VALUE!</v>
      </c>
      <c r="GR3" t="e">
        <f>AND(Hoja1!U24,"AAAAAHJ7+Mc=")</f>
        <v>#VALUE!</v>
      </c>
      <c r="GS3" t="e">
        <f>AND(Hoja1!V24,"AAAAAHJ7+Mg=")</f>
        <v>#VALUE!</v>
      </c>
      <c r="GT3" t="e">
        <f>AND(Hoja1!W24,"AAAAAHJ7+Mk=")</f>
        <v>#VALUE!</v>
      </c>
      <c r="GU3" t="e">
        <f>AND(Hoja1!X24,"AAAAAHJ7+Mo=")</f>
        <v>#VALUE!</v>
      </c>
      <c r="GV3" t="e">
        <f>AND(Hoja1!Y24,"AAAAAHJ7+Ms=")</f>
        <v>#VALUE!</v>
      </c>
      <c r="GW3" t="e">
        <f>AND(Hoja1!Z24,"AAAAAHJ7+Mw=")</f>
        <v>#VALUE!</v>
      </c>
      <c r="GX3" t="e">
        <f>AND(Hoja1!AA24,"AAAAAHJ7+M0=")</f>
        <v>#VALUE!</v>
      </c>
      <c r="GY3" t="e">
        <f>AND(Hoja1!AB24,"AAAAAHJ7+M4=")</f>
        <v>#VALUE!</v>
      </c>
      <c r="GZ3" t="e">
        <f>AND(Hoja1!AC24,"AAAAAHJ7+M8=")</f>
        <v>#VALUE!</v>
      </c>
      <c r="HA3">
        <f>IF(Hoja1!25:25,"AAAAAHJ7+NA=",0)</f>
        <v>0</v>
      </c>
      <c r="HB3" t="e">
        <f>AND(Hoja1!A25,"AAAAAHJ7+NE=")</f>
        <v>#VALUE!</v>
      </c>
      <c r="HC3" t="e">
        <f>AND(Hoja1!B25,"AAAAAHJ7+NI=")</f>
        <v>#VALUE!</v>
      </c>
      <c r="HD3" t="e">
        <f>AND(Hoja1!C25,"AAAAAHJ7+NM=")</f>
        <v>#VALUE!</v>
      </c>
      <c r="HE3" t="e">
        <f>AND(Hoja1!D25,"AAAAAHJ7+NQ=")</f>
        <v>#VALUE!</v>
      </c>
      <c r="HF3" t="e">
        <f>AND(Hoja1!E25,"AAAAAHJ7+NU=")</f>
        <v>#VALUE!</v>
      </c>
      <c r="HG3" t="e">
        <f>AND(Hoja1!F25,"AAAAAHJ7+NY=")</f>
        <v>#VALUE!</v>
      </c>
      <c r="HH3" t="e">
        <f>AND(Hoja1!G25,"AAAAAHJ7+Nc=")</f>
        <v>#VALUE!</v>
      </c>
      <c r="HI3" t="e">
        <f>AND(Hoja1!H25,"AAAAAHJ7+Ng=")</f>
        <v>#VALUE!</v>
      </c>
      <c r="HJ3" t="e">
        <f>AND(Hoja1!I25,"AAAAAHJ7+Nk=")</f>
        <v>#VALUE!</v>
      </c>
      <c r="HK3" t="e">
        <f>AND(Hoja1!J25,"AAAAAHJ7+No=")</f>
        <v>#VALUE!</v>
      </c>
      <c r="HL3" t="e">
        <f>AND(Hoja1!K25,"AAAAAHJ7+Ns=")</f>
        <v>#VALUE!</v>
      </c>
      <c r="HM3" t="e">
        <f>AND(Hoja1!L25,"AAAAAHJ7+Nw=")</f>
        <v>#VALUE!</v>
      </c>
      <c r="HN3" t="e">
        <f>AND(Hoja1!M25,"AAAAAHJ7+N0=")</f>
        <v>#VALUE!</v>
      </c>
      <c r="HO3" t="e">
        <f>AND(Hoja1!N25,"AAAAAHJ7+N4=")</f>
        <v>#VALUE!</v>
      </c>
      <c r="HP3" t="e">
        <f>AND(Hoja1!O25,"AAAAAHJ7+N8=")</f>
        <v>#VALUE!</v>
      </c>
      <c r="HQ3" t="e">
        <f>AND(Hoja1!P25,"AAAAAHJ7+OA=")</f>
        <v>#VALUE!</v>
      </c>
      <c r="HR3" t="e">
        <f>AND(Hoja1!Q25,"AAAAAHJ7+OE=")</f>
        <v>#VALUE!</v>
      </c>
      <c r="HS3" t="e">
        <f>AND(Hoja1!R25,"AAAAAHJ7+OI=")</f>
        <v>#VALUE!</v>
      </c>
      <c r="HT3" t="e">
        <f>AND(Hoja1!S25,"AAAAAHJ7+OM=")</f>
        <v>#VALUE!</v>
      </c>
      <c r="HU3" t="e">
        <f>AND(Hoja1!T25,"AAAAAHJ7+OQ=")</f>
        <v>#VALUE!</v>
      </c>
      <c r="HV3" t="e">
        <f>AND(Hoja1!U25,"AAAAAHJ7+OU=")</f>
        <v>#VALUE!</v>
      </c>
      <c r="HW3" t="e">
        <f>AND(Hoja1!V25,"AAAAAHJ7+OY=")</f>
        <v>#VALUE!</v>
      </c>
      <c r="HX3" t="e">
        <f>AND(Hoja1!W25,"AAAAAHJ7+Oc=")</f>
        <v>#VALUE!</v>
      </c>
      <c r="HY3" t="e">
        <f>AND(Hoja1!X25,"AAAAAHJ7+Og=")</f>
        <v>#VALUE!</v>
      </c>
      <c r="HZ3" t="e">
        <f>AND(Hoja1!Y25,"AAAAAHJ7+Ok=")</f>
        <v>#VALUE!</v>
      </c>
      <c r="IA3" t="e">
        <f>AND(Hoja1!Z25,"AAAAAHJ7+Oo=")</f>
        <v>#VALUE!</v>
      </c>
      <c r="IB3" t="e">
        <f>AND(Hoja1!AA25,"AAAAAHJ7+Os=")</f>
        <v>#VALUE!</v>
      </c>
      <c r="IC3" t="e">
        <f>AND(Hoja1!AB25,"AAAAAHJ7+Ow=")</f>
        <v>#VALUE!</v>
      </c>
      <c r="ID3" t="e">
        <f>AND(Hoja1!AC25,"AAAAAHJ7+O0=")</f>
        <v>#VALUE!</v>
      </c>
      <c r="IE3">
        <f>IF(Hoja1!26:26,"AAAAAHJ7+O4=",0)</f>
        <v>0</v>
      </c>
      <c r="IF3" t="e">
        <f>AND(Hoja1!A26,"AAAAAHJ7+O8=")</f>
        <v>#VALUE!</v>
      </c>
      <c r="IG3" t="e">
        <f>AND(Hoja1!B26,"AAAAAHJ7+PA=")</f>
        <v>#VALUE!</v>
      </c>
      <c r="IH3" t="e">
        <f>AND(Hoja1!C26,"AAAAAHJ7+PE=")</f>
        <v>#VALUE!</v>
      </c>
      <c r="II3" t="e">
        <f>AND(Hoja1!D26,"AAAAAHJ7+PI=")</f>
        <v>#VALUE!</v>
      </c>
      <c r="IJ3" t="e">
        <f>AND(Hoja1!E26,"AAAAAHJ7+PM=")</f>
        <v>#VALUE!</v>
      </c>
      <c r="IK3" t="e">
        <f>AND(Hoja1!F26,"AAAAAHJ7+PQ=")</f>
        <v>#VALUE!</v>
      </c>
      <c r="IL3" t="e">
        <f>AND(Hoja1!G26,"AAAAAHJ7+PU=")</f>
        <v>#VALUE!</v>
      </c>
      <c r="IM3" t="e">
        <f>AND(Hoja1!H26,"AAAAAHJ7+PY=")</f>
        <v>#VALUE!</v>
      </c>
      <c r="IN3" t="e">
        <f>AND(Hoja1!I26,"AAAAAHJ7+Pc=")</f>
        <v>#VALUE!</v>
      </c>
      <c r="IO3" t="e">
        <f>AND(Hoja1!J26,"AAAAAHJ7+Pg=")</f>
        <v>#VALUE!</v>
      </c>
      <c r="IP3" t="e">
        <f>AND(Hoja1!K26,"AAAAAHJ7+Pk=")</f>
        <v>#VALUE!</v>
      </c>
      <c r="IQ3" t="e">
        <f>AND(Hoja1!L26,"AAAAAHJ7+Po=")</f>
        <v>#VALUE!</v>
      </c>
      <c r="IR3" t="e">
        <f>AND(Hoja1!M26,"AAAAAHJ7+Ps=")</f>
        <v>#VALUE!</v>
      </c>
      <c r="IS3" t="e">
        <f>AND(Hoja1!N26,"AAAAAHJ7+Pw=")</f>
        <v>#VALUE!</v>
      </c>
      <c r="IT3" t="e">
        <f>AND(Hoja1!O26,"AAAAAHJ7+P0=")</f>
        <v>#VALUE!</v>
      </c>
      <c r="IU3" t="e">
        <f>AND(Hoja1!P26,"AAAAAHJ7+P4=")</f>
        <v>#VALUE!</v>
      </c>
      <c r="IV3" t="e">
        <f>AND(Hoja1!Q26,"AAAAAHJ7+P8=")</f>
        <v>#VALUE!</v>
      </c>
    </row>
    <row r="4" spans="1:256">
      <c r="A4" t="e">
        <f>AND(Hoja1!R26,"AAAAAG9c/gA=")</f>
        <v>#VALUE!</v>
      </c>
      <c r="B4" t="e">
        <f>AND(Hoja1!S26,"AAAAAG9c/gE=")</f>
        <v>#VALUE!</v>
      </c>
      <c r="C4" t="e">
        <f>AND(Hoja1!T26,"AAAAAG9c/gI=")</f>
        <v>#VALUE!</v>
      </c>
      <c r="D4" t="e">
        <f>AND(Hoja1!U26,"AAAAAG9c/gM=")</f>
        <v>#VALUE!</v>
      </c>
      <c r="E4" t="e">
        <f>AND(Hoja1!V26,"AAAAAG9c/gQ=")</f>
        <v>#VALUE!</v>
      </c>
      <c r="F4" t="e">
        <f>AND(Hoja1!W26,"AAAAAG9c/gU=")</f>
        <v>#VALUE!</v>
      </c>
      <c r="G4" t="e">
        <f>AND(Hoja1!X26,"AAAAAG9c/gY=")</f>
        <v>#VALUE!</v>
      </c>
      <c r="H4" t="e">
        <f>AND(Hoja1!Y26,"AAAAAG9c/gc=")</f>
        <v>#VALUE!</v>
      </c>
      <c r="I4" t="e">
        <f>AND(Hoja1!Z26,"AAAAAG9c/gg=")</f>
        <v>#VALUE!</v>
      </c>
      <c r="J4" t="e">
        <f>AND(Hoja1!AA26,"AAAAAG9c/gk=")</f>
        <v>#VALUE!</v>
      </c>
      <c r="K4" t="e">
        <f>AND(Hoja1!AB26,"AAAAAG9c/go=")</f>
        <v>#VALUE!</v>
      </c>
      <c r="L4" t="e">
        <f>AND(Hoja1!AC26,"AAAAAG9c/gs=")</f>
        <v>#VALUE!</v>
      </c>
      <c r="M4">
        <f>IF(Hoja1!27:27,"AAAAAG9c/gw=",0)</f>
        <v>0</v>
      </c>
      <c r="N4" t="e">
        <f>AND(Hoja1!A27,"AAAAAG9c/g0=")</f>
        <v>#VALUE!</v>
      </c>
      <c r="O4" t="e">
        <f>AND(Hoja1!B27,"AAAAAG9c/g4=")</f>
        <v>#VALUE!</v>
      </c>
      <c r="P4" t="e">
        <f>AND(Hoja1!C27,"AAAAAG9c/g8=")</f>
        <v>#VALUE!</v>
      </c>
      <c r="Q4" t="e">
        <f>AND(Hoja1!D27,"AAAAAG9c/hA=")</f>
        <v>#VALUE!</v>
      </c>
      <c r="R4" t="e">
        <f>AND(Hoja1!E27,"AAAAAG9c/hE=")</f>
        <v>#VALUE!</v>
      </c>
      <c r="S4" t="e">
        <f>AND(Hoja1!F27,"AAAAAG9c/hI=")</f>
        <v>#VALUE!</v>
      </c>
      <c r="T4" t="e">
        <f>AND(Hoja1!G27,"AAAAAG9c/hM=")</f>
        <v>#VALUE!</v>
      </c>
      <c r="U4" t="e">
        <f>AND(Hoja1!H27,"AAAAAG9c/hQ=")</f>
        <v>#VALUE!</v>
      </c>
      <c r="V4" t="e">
        <f>AND(Hoja1!I27,"AAAAAG9c/hU=")</f>
        <v>#VALUE!</v>
      </c>
      <c r="W4" t="e">
        <f>AND(Hoja1!J27,"AAAAAG9c/hY=")</f>
        <v>#VALUE!</v>
      </c>
      <c r="X4" t="e">
        <f>AND(Hoja1!K27,"AAAAAG9c/hc=")</f>
        <v>#VALUE!</v>
      </c>
      <c r="Y4" t="e">
        <f>AND(Hoja1!L27,"AAAAAG9c/hg=")</f>
        <v>#VALUE!</v>
      </c>
      <c r="Z4" t="e">
        <f>AND(Hoja1!M27,"AAAAAG9c/hk=")</f>
        <v>#VALUE!</v>
      </c>
      <c r="AA4" t="e">
        <f>AND(Hoja1!N27,"AAAAAG9c/ho=")</f>
        <v>#VALUE!</v>
      </c>
      <c r="AB4" t="e">
        <f>AND(Hoja1!O27,"AAAAAG9c/hs=")</f>
        <v>#VALUE!</v>
      </c>
      <c r="AC4" t="e">
        <f>AND(Hoja1!P27,"AAAAAG9c/hw=")</f>
        <v>#VALUE!</v>
      </c>
      <c r="AD4" t="e">
        <f>AND(Hoja1!Q27,"AAAAAG9c/h0=")</f>
        <v>#VALUE!</v>
      </c>
      <c r="AE4" t="e">
        <f>AND(Hoja1!R27,"AAAAAG9c/h4=")</f>
        <v>#VALUE!</v>
      </c>
      <c r="AF4" t="e">
        <f>AND(Hoja1!S27,"AAAAAG9c/h8=")</f>
        <v>#VALUE!</v>
      </c>
      <c r="AG4" t="e">
        <f>AND(Hoja1!T27,"AAAAAG9c/iA=")</f>
        <v>#VALUE!</v>
      </c>
      <c r="AH4" t="e">
        <f>AND(Hoja1!U27,"AAAAAG9c/iE=")</f>
        <v>#VALUE!</v>
      </c>
      <c r="AI4" t="e">
        <f>AND(Hoja1!V27,"AAAAAG9c/iI=")</f>
        <v>#VALUE!</v>
      </c>
      <c r="AJ4" t="e">
        <f>AND(Hoja1!W27,"AAAAAG9c/iM=")</f>
        <v>#VALUE!</v>
      </c>
      <c r="AK4" t="e">
        <f>AND(Hoja1!X27,"AAAAAG9c/iQ=")</f>
        <v>#VALUE!</v>
      </c>
      <c r="AL4" t="e">
        <f>AND(Hoja1!Y27,"AAAAAG9c/iU=")</f>
        <v>#VALUE!</v>
      </c>
      <c r="AM4" t="e">
        <f>AND(Hoja1!Z27,"AAAAAG9c/iY=")</f>
        <v>#VALUE!</v>
      </c>
      <c r="AN4" t="e">
        <f>AND(Hoja1!AA27,"AAAAAG9c/ic=")</f>
        <v>#VALUE!</v>
      </c>
      <c r="AO4" t="e">
        <f>AND(Hoja1!AB27,"AAAAAG9c/ig=")</f>
        <v>#VALUE!</v>
      </c>
      <c r="AP4" t="e">
        <f>AND(Hoja1!AC27,"AAAAAG9c/ik=")</f>
        <v>#VALUE!</v>
      </c>
      <c r="AQ4">
        <f>IF(Hoja1!28:28,"AAAAAG9c/io=",0)</f>
        <v>0</v>
      </c>
      <c r="AR4" t="e">
        <f>AND(Hoja1!A28,"AAAAAG9c/is=")</f>
        <v>#VALUE!</v>
      </c>
      <c r="AS4" t="e">
        <f>AND(Hoja1!B28,"AAAAAG9c/iw=")</f>
        <v>#VALUE!</v>
      </c>
      <c r="AT4" t="e">
        <f>AND(Hoja1!C28,"AAAAAG9c/i0=")</f>
        <v>#VALUE!</v>
      </c>
      <c r="AU4" t="e">
        <f>AND(Hoja1!D28,"AAAAAG9c/i4=")</f>
        <v>#VALUE!</v>
      </c>
      <c r="AV4" t="e">
        <f>AND(Hoja1!E28,"AAAAAG9c/i8=")</f>
        <v>#VALUE!</v>
      </c>
      <c r="AW4" t="e">
        <f>AND(Hoja1!F28,"AAAAAG9c/jA=")</f>
        <v>#VALUE!</v>
      </c>
      <c r="AX4" t="e">
        <f>AND(Hoja1!G28,"AAAAAG9c/jE=")</f>
        <v>#VALUE!</v>
      </c>
      <c r="AY4" t="e">
        <f>AND(Hoja1!H28,"AAAAAG9c/jI=")</f>
        <v>#VALUE!</v>
      </c>
      <c r="AZ4" t="e">
        <f>AND(Hoja1!I28,"AAAAAG9c/jM=")</f>
        <v>#VALUE!</v>
      </c>
      <c r="BA4" t="e">
        <f>AND(Hoja1!J28,"AAAAAG9c/jQ=")</f>
        <v>#VALUE!</v>
      </c>
      <c r="BB4" t="e">
        <f>AND(Hoja1!K28,"AAAAAG9c/jU=")</f>
        <v>#VALUE!</v>
      </c>
      <c r="BC4" t="e">
        <f>AND(Hoja1!L28,"AAAAAG9c/jY=")</f>
        <v>#VALUE!</v>
      </c>
      <c r="BD4" t="e">
        <f>AND(Hoja1!M28,"AAAAAG9c/jc=")</f>
        <v>#VALUE!</v>
      </c>
      <c r="BE4" t="e">
        <f>AND(Hoja1!N28,"AAAAAG9c/jg=")</f>
        <v>#VALUE!</v>
      </c>
      <c r="BF4" t="e">
        <f>AND(Hoja1!O28,"AAAAAG9c/jk=")</f>
        <v>#VALUE!</v>
      </c>
      <c r="BG4" t="e">
        <f>AND(Hoja1!P28,"AAAAAG9c/jo=")</f>
        <v>#VALUE!</v>
      </c>
      <c r="BH4" t="e">
        <f>AND(Hoja1!Q28,"AAAAAG9c/js=")</f>
        <v>#VALUE!</v>
      </c>
      <c r="BI4" t="e">
        <f>AND(Hoja1!R28,"AAAAAG9c/jw=")</f>
        <v>#VALUE!</v>
      </c>
      <c r="BJ4" t="e">
        <f>AND(Hoja1!S28,"AAAAAG9c/j0=")</f>
        <v>#VALUE!</v>
      </c>
      <c r="BK4" t="e">
        <f>AND(Hoja1!T28,"AAAAAG9c/j4=")</f>
        <v>#VALUE!</v>
      </c>
      <c r="BL4" t="e">
        <f>AND(Hoja1!U28,"AAAAAG9c/j8=")</f>
        <v>#VALUE!</v>
      </c>
      <c r="BM4" t="e">
        <f>AND(Hoja1!V28,"AAAAAG9c/kA=")</f>
        <v>#VALUE!</v>
      </c>
      <c r="BN4" t="e">
        <f>AND(Hoja1!W28,"AAAAAG9c/kE=")</f>
        <v>#VALUE!</v>
      </c>
      <c r="BO4" t="e">
        <f>AND(Hoja1!X28,"AAAAAG9c/kI=")</f>
        <v>#VALUE!</v>
      </c>
      <c r="BP4" t="e">
        <f>AND(Hoja1!Y28,"AAAAAG9c/kM=")</f>
        <v>#VALUE!</v>
      </c>
      <c r="BQ4" t="e">
        <f>AND(Hoja1!Z28,"AAAAAG9c/kQ=")</f>
        <v>#VALUE!</v>
      </c>
      <c r="BR4" t="e">
        <f>AND(Hoja1!AA28,"AAAAAG9c/kU=")</f>
        <v>#VALUE!</v>
      </c>
      <c r="BS4" t="e">
        <f>AND(Hoja1!AB28,"AAAAAG9c/kY=")</f>
        <v>#VALUE!</v>
      </c>
      <c r="BT4" t="e">
        <f>AND(Hoja1!AC28,"AAAAAG9c/kc=")</f>
        <v>#VALUE!</v>
      </c>
      <c r="BU4">
        <f>IF(Hoja1!29:29,"AAAAAG9c/kg=",0)</f>
        <v>0</v>
      </c>
      <c r="BV4" t="e">
        <f>AND(Hoja1!A29,"AAAAAG9c/kk=")</f>
        <v>#VALUE!</v>
      </c>
      <c r="BW4" t="e">
        <f>AND(Hoja1!B29,"AAAAAG9c/ko=")</f>
        <v>#VALUE!</v>
      </c>
      <c r="BX4" t="e">
        <f>AND(Hoja1!C29,"AAAAAG9c/ks=")</f>
        <v>#VALUE!</v>
      </c>
      <c r="BY4" t="e">
        <f>AND(Hoja1!D29,"AAAAAG9c/kw=")</f>
        <v>#VALUE!</v>
      </c>
      <c r="BZ4" t="e">
        <f>AND(Hoja1!E29,"AAAAAG9c/k0=")</f>
        <v>#VALUE!</v>
      </c>
      <c r="CA4" t="e">
        <f>AND(Hoja1!F29,"AAAAAG9c/k4=")</f>
        <v>#VALUE!</v>
      </c>
      <c r="CB4" t="e">
        <f>AND(Hoja1!G29,"AAAAAG9c/k8=")</f>
        <v>#VALUE!</v>
      </c>
      <c r="CC4" t="e">
        <f>AND(Hoja1!H29,"AAAAAG9c/lA=")</f>
        <v>#VALUE!</v>
      </c>
      <c r="CD4" t="e">
        <f>AND(Hoja1!I29,"AAAAAG9c/lE=")</f>
        <v>#VALUE!</v>
      </c>
      <c r="CE4" t="e">
        <f>AND(Hoja1!J29,"AAAAAG9c/lI=")</f>
        <v>#VALUE!</v>
      </c>
      <c r="CF4" t="e">
        <f>AND(Hoja1!K29,"AAAAAG9c/lM=")</f>
        <v>#VALUE!</v>
      </c>
      <c r="CG4" t="e">
        <f>AND(Hoja1!L29,"AAAAAG9c/lQ=")</f>
        <v>#VALUE!</v>
      </c>
      <c r="CH4" t="e">
        <f>AND(Hoja1!M29,"AAAAAG9c/lU=")</f>
        <v>#VALUE!</v>
      </c>
      <c r="CI4" t="e">
        <f>AND(Hoja1!N29,"AAAAAG9c/lY=")</f>
        <v>#VALUE!</v>
      </c>
      <c r="CJ4" t="e">
        <f>AND(Hoja1!O29,"AAAAAG9c/lc=")</f>
        <v>#VALUE!</v>
      </c>
      <c r="CK4" t="e">
        <f>AND(Hoja1!P29,"AAAAAG9c/lg=")</f>
        <v>#VALUE!</v>
      </c>
      <c r="CL4" t="e">
        <f>AND(Hoja1!Q29,"AAAAAG9c/lk=")</f>
        <v>#VALUE!</v>
      </c>
      <c r="CM4" t="e">
        <f>AND(Hoja1!R29,"AAAAAG9c/lo=")</f>
        <v>#VALUE!</v>
      </c>
      <c r="CN4" t="e">
        <f>AND(Hoja1!S29,"AAAAAG9c/ls=")</f>
        <v>#VALUE!</v>
      </c>
      <c r="CO4" t="e">
        <f>AND(Hoja1!T29,"AAAAAG9c/lw=")</f>
        <v>#VALUE!</v>
      </c>
      <c r="CP4" t="e">
        <f>AND(Hoja1!U29,"AAAAAG9c/l0=")</f>
        <v>#VALUE!</v>
      </c>
      <c r="CQ4" t="e">
        <f>AND(Hoja1!V29,"AAAAAG9c/l4=")</f>
        <v>#VALUE!</v>
      </c>
      <c r="CR4" t="e">
        <f>AND(Hoja1!W29,"AAAAAG9c/l8=")</f>
        <v>#VALUE!</v>
      </c>
      <c r="CS4" t="e">
        <f>AND(Hoja1!X29,"AAAAAG9c/mA=")</f>
        <v>#VALUE!</v>
      </c>
      <c r="CT4" t="e">
        <f>AND(Hoja1!Y29,"AAAAAG9c/mE=")</f>
        <v>#VALUE!</v>
      </c>
      <c r="CU4" t="e">
        <f>AND(Hoja1!Z29,"AAAAAG9c/mI=")</f>
        <v>#VALUE!</v>
      </c>
      <c r="CV4" t="e">
        <f>AND(Hoja1!AA29,"AAAAAG9c/mM=")</f>
        <v>#VALUE!</v>
      </c>
      <c r="CW4" t="e">
        <f>AND(Hoja1!AB29,"AAAAAG9c/mQ=")</f>
        <v>#VALUE!</v>
      </c>
      <c r="CX4" t="e">
        <f>AND(Hoja1!AC29,"AAAAAG9c/mU=")</f>
        <v>#VALUE!</v>
      </c>
      <c r="CY4">
        <f>IF(Hoja1!30:30,"AAAAAG9c/mY=",0)</f>
        <v>0</v>
      </c>
      <c r="CZ4" t="e">
        <f>AND(Hoja1!A30,"AAAAAG9c/mc=")</f>
        <v>#VALUE!</v>
      </c>
      <c r="DA4" t="e">
        <f>AND(Hoja1!B30,"AAAAAG9c/mg=")</f>
        <v>#VALUE!</v>
      </c>
      <c r="DB4" t="e">
        <f>AND(Hoja1!C30,"AAAAAG9c/mk=")</f>
        <v>#VALUE!</v>
      </c>
      <c r="DC4" t="e">
        <f>AND(Hoja1!D30,"AAAAAG9c/mo=")</f>
        <v>#VALUE!</v>
      </c>
      <c r="DD4" t="e">
        <f>AND(Hoja1!E30,"AAAAAG9c/ms=")</f>
        <v>#VALUE!</v>
      </c>
      <c r="DE4" t="e">
        <f>AND(Hoja1!F30,"AAAAAG9c/mw=")</f>
        <v>#VALUE!</v>
      </c>
      <c r="DF4" t="e">
        <f>AND(Hoja1!G30,"AAAAAG9c/m0=")</f>
        <v>#VALUE!</v>
      </c>
      <c r="DG4" t="e">
        <f>AND(Hoja1!H30,"AAAAAG9c/m4=")</f>
        <v>#VALUE!</v>
      </c>
      <c r="DH4" t="e">
        <f>AND(Hoja1!I30,"AAAAAG9c/m8=")</f>
        <v>#VALUE!</v>
      </c>
      <c r="DI4" t="e">
        <f>AND(Hoja1!J30,"AAAAAG9c/nA=")</f>
        <v>#VALUE!</v>
      </c>
      <c r="DJ4" t="e">
        <f>AND(Hoja1!K30,"AAAAAG9c/nE=")</f>
        <v>#VALUE!</v>
      </c>
      <c r="DK4" t="e">
        <f>AND(Hoja1!L30,"AAAAAG9c/nI=")</f>
        <v>#VALUE!</v>
      </c>
      <c r="DL4" t="e">
        <f>AND(Hoja1!M30,"AAAAAG9c/nM=")</f>
        <v>#VALUE!</v>
      </c>
      <c r="DM4" t="e">
        <f>AND(Hoja1!N30,"AAAAAG9c/nQ=")</f>
        <v>#VALUE!</v>
      </c>
      <c r="DN4" t="e">
        <f>AND(Hoja1!O30,"AAAAAG9c/nU=")</f>
        <v>#VALUE!</v>
      </c>
      <c r="DO4" t="e">
        <f>AND(Hoja1!P30,"AAAAAG9c/nY=")</f>
        <v>#VALUE!</v>
      </c>
      <c r="DP4" t="e">
        <f>AND(Hoja1!Q30,"AAAAAG9c/nc=")</f>
        <v>#VALUE!</v>
      </c>
      <c r="DQ4" t="e">
        <f>AND(Hoja1!R30,"AAAAAG9c/ng=")</f>
        <v>#VALUE!</v>
      </c>
      <c r="DR4" t="e">
        <f>AND(Hoja1!S30,"AAAAAG9c/nk=")</f>
        <v>#VALUE!</v>
      </c>
      <c r="DS4" t="e">
        <f>AND(Hoja1!T30,"AAAAAG9c/no=")</f>
        <v>#VALUE!</v>
      </c>
      <c r="DT4" t="e">
        <f>AND(Hoja1!U30,"AAAAAG9c/ns=")</f>
        <v>#VALUE!</v>
      </c>
      <c r="DU4" t="e">
        <f>AND(Hoja1!V30,"AAAAAG9c/nw=")</f>
        <v>#VALUE!</v>
      </c>
      <c r="DV4" t="e">
        <f>AND(Hoja1!W30,"AAAAAG9c/n0=")</f>
        <v>#VALUE!</v>
      </c>
      <c r="DW4" t="e">
        <f>AND(Hoja1!X30,"AAAAAG9c/n4=")</f>
        <v>#VALUE!</v>
      </c>
      <c r="DX4" t="e">
        <f>AND(Hoja1!Y30,"AAAAAG9c/n8=")</f>
        <v>#VALUE!</v>
      </c>
      <c r="DY4" t="e">
        <f>AND(Hoja1!Z30,"AAAAAG9c/oA=")</f>
        <v>#VALUE!</v>
      </c>
      <c r="DZ4" t="e">
        <f>AND(Hoja1!AA30,"AAAAAG9c/oE=")</f>
        <v>#VALUE!</v>
      </c>
      <c r="EA4" t="e">
        <f>AND(Hoja1!AB30,"AAAAAG9c/oI=")</f>
        <v>#VALUE!</v>
      </c>
      <c r="EB4" t="e">
        <f>AND(Hoja1!AC30,"AAAAAG9c/oM=")</f>
        <v>#VALUE!</v>
      </c>
      <c r="EC4">
        <f>IF(Hoja1!31:31,"AAAAAG9c/oQ=",0)</f>
        <v>0</v>
      </c>
      <c r="ED4" t="e">
        <f>AND(Hoja1!A31,"AAAAAG9c/oU=")</f>
        <v>#VALUE!</v>
      </c>
      <c r="EE4" t="e">
        <f>AND(Hoja1!B31,"AAAAAG9c/oY=")</f>
        <v>#VALUE!</v>
      </c>
      <c r="EF4" t="e">
        <f>AND(Hoja1!C31,"AAAAAG9c/oc=")</f>
        <v>#VALUE!</v>
      </c>
      <c r="EG4" t="e">
        <f>AND(Hoja1!D31,"AAAAAG9c/og=")</f>
        <v>#VALUE!</v>
      </c>
      <c r="EH4" t="e">
        <f>AND(Hoja1!E31,"AAAAAG9c/ok=")</f>
        <v>#VALUE!</v>
      </c>
      <c r="EI4" t="e">
        <f>AND(Hoja1!F31,"AAAAAG9c/oo=")</f>
        <v>#VALUE!</v>
      </c>
      <c r="EJ4" t="e">
        <f>AND(Hoja1!G31,"AAAAAG9c/os=")</f>
        <v>#VALUE!</v>
      </c>
      <c r="EK4" t="e">
        <f>AND(Hoja1!H31,"AAAAAG9c/ow=")</f>
        <v>#VALUE!</v>
      </c>
      <c r="EL4" t="e">
        <f>AND(Hoja1!I31,"AAAAAG9c/o0=")</f>
        <v>#VALUE!</v>
      </c>
      <c r="EM4" t="e">
        <f>AND(Hoja1!J31,"AAAAAG9c/o4=")</f>
        <v>#VALUE!</v>
      </c>
      <c r="EN4" t="e">
        <f>AND(Hoja1!K31,"AAAAAG9c/o8=")</f>
        <v>#VALUE!</v>
      </c>
      <c r="EO4" t="e">
        <f>AND(Hoja1!L31,"AAAAAG9c/pA=")</f>
        <v>#VALUE!</v>
      </c>
      <c r="EP4" t="e">
        <f>AND(Hoja1!M31,"AAAAAG9c/pE=")</f>
        <v>#VALUE!</v>
      </c>
      <c r="EQ4" t="e">
        <f>AND(Hoja1!N31,"AAAAAG9c/pI=")</f>
        <v>#VALUE!</v>
      </c>
      <c r="ER4" t="e">
        <f>AND(Hoja1!O31,"AAAAAG9c/pM=")</f>
        <v>#VALUE!</v>
      </c>
      <c r="ES4" t="e">
        <f>AND(Hoja1!P31,"AAAAAG9c/pQ=")</f>
        <v>#VALUE!</v>
      </c>
      <c r="ET4" t="e">
        <f>AND(Hoja1!Q31,"AAAAAG9c/pU=")</f>
        <v>#VALUE!</v>
      </c>
      <c r="EU4" t="e">
        <f>AND(Hoja1!R31,"AAAAAG9c/pY=")</f>
        <v>#VALUE!</v>
      </c>
      <c r="EV4" t="e">
        <f>AND(Hoja1!S31,"AAAAAG9c/pc=")</f>
        <v>#VALUE!</v>
      </c>
      <c r="EW4" t="e">
        <f>AND(Hoja1!T31,"AAAAAG9c/pg=")</f>
        <v>#VALUE!</v>
      </c>
      <c r="EX4" t="e">
        <f>AND(Hoja1!U31,"AAAAAG9c/pk=")</f>
        <v>#VALUE!</v>
      </c>
      <c r="EY4" t="e">
        <f>AND(Hoja1!V31,"AAAAAG9c/po=")</f>
        <v>#VALUE!</v>
      </c>
      <c r="EZ4" t="e">
        <f>AND(Hoja1!W31,"AAAAAG9c/ps=")</f>
        <v>#VALUE!</v>
      </c>
      <c r="FA4" t="e">
        <f>AND(Hoja1!X31,"AAAAAG9c/pw=")</f>
        <v>#VALUE!</v>
      </c>
      <c r="FB4" t="e">
        <f>AND(Hoja1!Y31,"AAAAAG9c/p0=")</f>
        <v>#VALUE!</v>
      </c>
      <c r="FC4" t="e">
        <f>AND(Hoja1!Z31,"AAAAAG9c/p4=")</f>
        <v>#VALUE!</v>
      </c>
      <c r="FD4" t="e">
        <f>AND(Hoja1!AA31,"AAAAAG9c/p8=")</f>
        <v>#VALUE!</v>
      </c>
      <c r="FE4" t="e">
        <f>AND(Hoja1!AB31,"AAAAAG9c/qA=")</f>
        <v>#VALUE!</v>
      </c>
      <c r="FF4" t="e">
        <f>AND(Hoja1!AC31,"AAAAAG9c/qE=")</f>
        <v>#VALUE!</v>
      </c>
      <c r="FG4">
        <f>IF(Hoja1!32:32,"AAAAAG9c/qI=",0)</f>
        <v>0</v>
      </c>
      <c r="FH4" t="e">
        <f>AND(Hoja1!A32,"AAAAAG9c/qM=")</f>
        <v>#VALUE!</v>
      </c>
      <c r="FI4" t="e">
        <f>AND(Hoja1!B32,"AAAAAG9c/qQ=")</f>
        <v>#VALUE!</v>
      </c>
      <c r="FJ4" t="e">
        <f>AND(Hoja1!C32,"AAAAAG9c/qU=")</f>
        <v>#VALUE!</v>
      </c>
      <c r="FK4" t="e">
        <f>AND(Hoja1!D32,"AAAAAG9c/qY=")</f>
        <v>#VALUE!</v>
      </c>
      <c r="FL4" t="e">
        <f>AND(Hoja1!E32,"AAAAAG9c/qc=")</f>
        <v>#VALUE!</v>
      </c>
      <c r="FM4" t="e">
        <f>AND(Hoja1!F32,"AAAAAG9c/qg=")</f>
        <v>#VALUE!</v>
      </c>
      <c r="FN4" t="e">
        <f>AND(Hoja1!G32,"AAAAAG9c/qk=")</f>
        <v>#VALUE!</v>
      </c>
      <c r="FO4" t="e">
        <f>AND(Hoja1!H32,"AAAAAG9c/qo=")</f>
        <v>#VALUE!</v>
      </c>
      <c r="FP4" t="e">
        <f>AND(Hoja1!I32,"AAAAAG9c/qs=")</f>
        <v>#VALUE!</v>
      </c>
      <c r="FQ4" t="e">
        <f>AND(Hoja1!J32,"AAAAAG9c/qw=")</f>
        <v>#VALUE!</v>
      </c>
      <c r="FR4" t="e">
        <f>AND(Hoja1!K32,"AAAAAG9c/q0=")</f>
        <v>#VALUE!</v>
      </c>
      <c r="FS4" t="e">
        <f>AND(Hoja1!L32,"AAAAAG9c/q4=")</f>
        <v>#VALUE!</v>
      </c>
      <c r="FT4" t="e">
        <f>AND(Hoja1!M32,"AAAAAG9c/q8=")</f>
        <v>#VALUE!</v>
      </c>
      <c r="FU4" t="e">
        <f>AND(Hoja1!N32,"AAAAAG9c/rA=")</f>
        <v>#VALUE!</v>
      </c>
      <c r="FV4" t="e">
        <f>AND(Hoja1!O32,"AAAAAG9c/rE=")</f>
        <v>#VALUE!</v>
      </c>
      <c r="FW4" t="e">
        <f>AND(Hoja1!P32,"AAAAAG9c/rI=")</f>
        <v>#VALUE!</v>
      </c>
      <c r="FX4" t="e">
        <f>AND(Hoja1!Q32,"AAAAAG9c/rM=")</f>
        <v>#VALUE!</v>
      </c>
      <c r="FY4" t="e">
        <f>AND(Hoja1!R32,"AAAAAG9c/rQ=")</f>
        <v>#VALUE!</v>
      </c>
      <c r="FZ4" t="e">
        <f>AND(Hoja1!S32,"AAAAAG9c/rU=")</f>
        <v>#VALUE!</v>
      </c>
      <c r="GA4" t="e">
        <f>AND(Hoja1!T32,"AAAAAG9c/rY=")</f>
        <v>#VALUE!</v>
      </c>
      <c r="GB4" t="e">
        <f>AND(Hoja1!U32,"AAAAAG9c/rc=")</f>
        <v>#VALUE!</v>
      </c>
      <c r="GC4" t="e">
        <f>AND(Hoja1!V32,"AAAAAG9c/rg=")</f>
        <v>#VALUE!</v>
      </c>
      <c r="GD4" t="e">
        <f>AND(Hoja1!W32,"AAAAAG9c/rk=")</f>
        <v>#VALUE!</v>
      </c>
      <c r="GE4" t="e">
        <f>AND(Hoja1!X32,"AAAAAG9c/ro=")</f>
        <v>#VALUE!</v>
      </c>
      <c r="GF4" t="e">
        <f>AND(Hoja1!Y32,"AAAAAG9c/rs=")</f>
        <v>#VALUE!</v>
      </c>
      <c r="GG4" t="e">
        <f>AND(Hoja1!Z32,"AAAAAG9c/rw=")</f>
        <v>#VALUE!</v>
      </c>
      <c r="GH4" t="e">
        <f>AND(Hoja1!AA32,"AAAAAG9c/r0=")</f>
        <v>#VALUE!</v>
      </c>
      <c r="GI4" t="e">
        <f>AND(Hoja1!AB32,"AAAAAG9c/r4=")</f>
        <v>#VALUE!</v>
      </c>
      <c r="GJ4" t="e">
        <f>AND(Hoja1!AC32,"AAAAAG9c/r8=")</f>
        <v>#VALUE!</v>
      </c>
      <c r="GK4">
        <f>IF(Hoja1!33:33,"AAAAAG9c/sA=",0)</f>
        <v>0</v>
      </c>
      <c r="GL4" t="e">
        <f>AND(Hoja1!A33,"AAAAAG9c/sE=")</f>
        <v>#VALUE!</v>
      </c>
      <c r="GM4" t="e">
        <f>AND(Hoja1!B33,"AAAAAG9c/sI=")</f>
        <v>#VALUE!</v>
      </c>
      <c r="GN4" t="e">
        <f>AND(Hoja1!C33,"AAAAAG9c/sM=")</f>
        <v>#VALUE!</v>
      </c>
      <c r="GO4" t="e">
        <f>AND(Hoja1!D33,"AAAAAG9c/sQ=")</f>
        <v>#VALUE!</v>
      </c>
      <c r="GP4" t="e">
        <f>AND(Hoja1!E33,"AAAAAG9c/sU=")</f>
        <v>#VALUE!</v>
      </c>
      <c r="GQ4" t="e">
        <f>AND(Hoja1!F33,"AAAAAG9c/sY=")</f>
        <v>#VALUE!</v>
      </c>
      <c r="GR4" t="e">
        <f>AND(Hoja1!G33,"AAAAAG9c/sc=")</f>
        <v>#VALUE!</v>
      </c>
      <c r="GS4" t="e">
        <f>AND(Hoja1!H33,"AAAAAG9c/sg=")</f>
        <v>#VALUE!</v>
      </c>
      <c r="GT4" t="e">
        <f>AND(Hoja1!I33,"AAAAAG9c/sk=")</f>
        <v>#VALUE!</v>
      </c>
      <c r="GU4" t="e">
        <f>AND(Hoja1!J33,"AAAAAG9c/so=")</f>
        <v>#VALUE!</v>
      </c>
      <c r="GV4" t="e">
        <f>AND(Hoja1!K33,"AAAAAG9c/ss=")</f>
        <v>#VALUE!</v>
      </c>
      <c r="GW4" t="e">
        <f>AND(Hoja1!L33,"AAAAAG9c/sw=")</f>
        <v>#VALUE!</v>
      </c>
      <c r="GX4" t="e">
        <f>AND(Hoja1!M33,"AAAAAG9c/s0=")</f>
        <v>#VALUE!</v>
      </c>
      <c r="GY4" t="e">
        <f>AND(Hoja1!N33,"AAAAAG9c/s4=")</f>
        <v>#VALUE!</v>
      </c>
      <c r="GZ4" t="e">
        <f>AND(Hoja1!O33,"AAAAAG9c/s8=")</f>
        <v>#VALUE!</v>
      </c>
      <c r="HA4" t="e">
        <f>AND(Hoja1!P33,"AAAAAG9c/tA=")</f>
        <v>#VALUE!</v>
      </c>
      <c r="HB4" t="e">
        <f>AND(Hoja1!Q33,"AAAAAG9c/tE=")</f>
        <v>#VALUE!</v>
      </c>
      <c r="HC4" t="e">
        <f>AND(Hoja1!R33,"AAAAAG9c/tI=")</f>
        <v>#VALUE!</v>
      </c>
      <c r="HD4" t="e">
        <f>AND(Hoja1!S33,"AAAAAG9c/tM=")</f>
        <v>#VALUE!</v>
      </c>
      <c r="HE4" t="e">
        <f>AND(Hoja1!T33,"AAAAAG9c/tQ=")</f>
        <v>#VALUE!</v>
      </c>
      <c r="HF4" t="e">
        <f>AND(Hoja1!U33,"AAAAAG9c/tU=")</f>
        <v>#VALUE!</v>
      </c>
      <c r="HG4" t="e">
        <f>AND(Hoja1!V33,"AAAAAG9c/tY=")</f>
        <v>#VALUE!</v>
      </c>
      <c r="HH4" t="e">
        <f>AND(Hoja1!W33,"AAAAAG9c/tc=")</f>
        <v>#VALUE!</v>
      </c>
      <c r="HI4" t="e">
        <f>AND(Hoja1!X33,"AAAAAG9c/tg=")</f>
        <v>#VALUE!</v>
      </c>
      <c r="HJ4" t="e">
        <f>AND(Hoja1!Y33,"AAAAAG9c/tk=")</f>
        <v>#VALUE!</v>
      </c>
      <c r="HK4" t="e">
        <f>AND(Hoja1!Z33,"AAAAAG9c/to=")</f>
        <v>#VALUE!</v>
      </c>
      <c r="HL4" t="e">
        <f>AND(Hoja1!AA33,"AAAAAG9c/ts=")</f>
        <v>#VALUE!</v>
      </c>
      <c r="HM4" t="e">
        <f>AND(Hoja1!AB33,"AAAAAG9c/tw=")</f>
        <v>#VALUE!</v>
      </c>
      <c r="HN4" t="e">
        <f>AND(Hoja1!AC33,"AAAAAG9c/t0=")</f>
        <v>#VALUE!</v>
      </c>
      <c r="HO4">
        <f>IF(Hoja1!34:34,"AAAAAG9c/t4=",0)</f>
        <v>0</v>
      </c>
      <c r="HP4" t="e">
        <f>AND(Hoja1!A34,"AAAAAG9c/t8=")</f>
        <v>#VALUE!</v>
      </c>
      <c r="HQ4" t="e">
        <f>AND(Hoja1!B34,"AAAAAG9c/uA=")</f>
        <v>#VALUE!</v>
      </c>
      <c r="HR4" t="e">
        <f>AND(Hoja1!C34,"AAAAAG9c/uE=")</f>
        <v>#VALUE!</v>
      </c>
      <c r="HS4" t="e">
        <f>AND(Hoja1!D34,"AAAAAG9c/uI=")</f>
        <v>#VALUE!</v>
      </c>
      <c r="HT4" t="e">
        <f>AND(Hoja1!E34,"AAAAAG9c/uM=")</f>
        <v>#VALUE!</v>
      </c>
      <c r="HU4" t="e">
        <f>AND(Hoja1!F34,"AAAAAG9c/uQ=")</f>
        <v>#VALUE!</v>
      </c>
      <c r="HV4" t="e">
        <f>AND(Hoja1!G34,"AAAAAG9c/uU=")</f>
        <v>#VALUE!</v>
      </c>
      <c r="HW4" t="e">
        <f>AND(Hoja1!H34,"AAAAAG9c/uY=")</f>
        <v>#VALUE!</v>
      </c>
      <c r="HX4" t="e">
        <f>AND(Hoja1!I34,"AAAAAG9c/uc=")</f>
        <v>#VALUE!</v>
      </c>
      <c r="HY4" t="e">
        <f>AND(Hoja1!J34,"AAAAAG9c/ug=")</f>
        <v>#VALUE!</v>
      </c>
      <c r="HZ4" t="e">
        <f>AND(Hoja1!K34,"AAAAAG9c/uk=")</f>
        <v>#VALUE!</v>
      </c>
      <c r="IA4" t="e">
        <f>AND(Hoja1!L34,"AAAAAG9c/uo=")</f>
        <v>#VALUE!</v>
      </c>
      <c r="IB4" t="e">
        <f>AND(Hoja1!M34,"AAAAAG9c/us=")</f>
        <v>#VALUE!</v>
      </c>
      <c r="IC4" t="e">
        <f>AND(Hoja1!N34,"AAAAAG9c/uw=")</f>
        <v>#VALUE!</v>
      </c>
      <c r="ID4" t="e">
        <f>AND(Hoja1!O34,"AAAAAG9c/u0=")</f>
        <v>#VALUE!</v>
      </c>
      <c r="IE4" t="e">
        <f>AND(Hoja1!P34,"AAAAAG9c/u4=")</f>
        <v>#VALUE!</v>
      </c>
      <c r="IF4" t="e">
        <f>AND(Hoja1!Q34,"AAAAAG9c/u8=")</f>
        <v>#VALUE!</v>
      </c>
      <c r="IG4" t="e">
        <f>AND(Hoja1!R34,"AAAAAG9c/vA=")</f>
        <v>#VALUE!</v>
      </c>
      <c r="IH4" t="e">
        <f>AND(Hoja1!S34,"AAAAAG9c/vE=")</f>
        <v>#VALUE!</v>
      </c>
      <c r="II4" t="e">
        <f>AND(Hoja1!T34,"AAAAAG9c/vI=")</f>
        <v>#VALUE!</v>
      </c>
      <c r="IJ4" t="e">
        <f>AND(Hoja1!U34,"AAAAAG9c/vM=")</f>
        <v>#VALUE!</v>
      </c>
      <c r="IK4" t="e">
        <f>AND(Hoja1!V34,"AAAAAG9c/vQ=")</f>
        <v>#VALUE!</v>
      </c>
      <c r="IL4" t="e">
        <f>AND(Hoja1!W34,"AAAAAG9c/vU=")</f>
        <v>#VALUE!</v>
      </c>
      <c r="IM4" t="e">
        <f>AND(Hoja1!X34,"AAAAAG9c/vY=")</f>
        <v>#VALUE!</v>
      </c>
      <c r="IN4" t="e">
        <f>AND(Hoja1!Y34,"AAAAAG9c/vc=")</f>
        <v>#VALUE!</v>
      </c>
      <c r="IO4" t="e">
        <f>AND(Hoja1!Z34,"AAAAAG9c/vg=")</f>
        <v>#VALUE!</v>
      </c>
      <c r="IP4" t="e">
        <f>AND(Hoja1!AA34,"AAAAAG9c/vk=")</f>
        <v>#VALUE!</v>
      </c>
      <c r="IQ4" t="e">
        <f>AND(Hoja1!AB34,"AAAAAG9c/vo=")</f>
        <v>#VALUE!</v>
      </c>
      <c r="IR4" t="e">
        <f>AND(Hoja1!AC34,"AAAAAG9c/vs=")</f>
        <v>#VALUE!</v>
      </c>
      <c r="IS4">
        <f>IF(Hoja1!35:35,"AAAAAG9c/vw=",0)</f>
        <v>0</v>
      </c>
      <c r="IT4" t="e">
        <f>AND(Hoja1!A35,"AAAAAG9c/v0=")</f>
        <v>#VALUE!</v>
      </c>
      <c r="IU4" t="e">
        <f>AND(Hoja1!B35,"AAAAAG9c/v4=")</f>
        <v>#VALUE!</v>
      </c>
      <c r="IV4" t="e">
        <f>AND(Hoja1!C35,"AAAAAG9c/v8=")</f>
        <v>#VALUE!</v>
      </c>
    </row>
    <row r="5" spans="1:256">
      <c r="A5" t="e">
        <f>AND(Hoja1!D35,"AAAAAH47/gA=")</f>
        <v>#VALUE!</v>
      </c>
      <c r="B5" t="e">
        <f>AND(Hoja1!E35,"AAAAAH47/gE=")</f>
        <v>#VALUE!</v>
      </c>
      <c r="C5" t="e">
        <f>AND(Hoja1!F35,"AAAAAH47/gI=")</f>
        <v>#VALUE!</v>
      </c>
      <c r="D5" t="e">
        <f>AND(Hoja1!G35,"AAAAAH47/gM=")</f>
        <v>#VALUE!</v>
      </c>
      <c r="E5" t="e">
        <f>AND(Hoja1!H35,"AAAAAH47/gQ=")</f>
        <v>#VALUE!</v>
      </c>
      <c r="F5" t="e">
        <f>AND(Hoja1!I35,"AAAAAH47/gU=")</f>
        <v>#VALUE!</v>
      </c>
      <c r="G5" t="e">
        <f>AND(Hoja1!J35,"AAAAAH47/gY=")</f>
        <v>#VALUE!</v>
      </c>
      <c r="H5" t="e">
        <f>AND(Hoja1!K35,"AAAAAH47/gc=")</f>
        <v>#VALUE!</v>
      </c>
      <c r="I5" t="e">
        <f>AND(Hoja1!L35,"AAAAAH47/gg=")</f>
        <v>#VALUE!</v>
      </c>
      <c r="J5" t="e">
        <f>AND(Hoja1!M35,"AAAAAH47/gk=")</f>
        <v>#VALUE!</v>
      </c>
      <c r="K5" t="e">
        <f>AND(Hoja1!N35,"AAAAAH47/go=")</f>
        <v>#VALUE!</v>
      </c>
      <c r="L5" t="e">
        <f>AND(Hoja1!O35,"AAAAAH47/gs=")</f>
        <v>#VALUE!</v>
      </c>
      <c r="M5" t="e">
        <f>AND(Hoja1!P35,"AAAAAH47/gw=")</f>
        <v>#VALUE!</v>
      </c>
      <c r="N5" t="e">
        <f>AND(Hoja1!Q35,"AAAAAH47/g0=")</f>
        <v>#VALUE!</v>
      </c>
      <c r="O5" t="e">
        <f>AND(Hoja1!R35,"AAAAAH47/g4=")</f>
        <v>#VALUE!</v>
      </c>
      <c r="P5" t="e">
        <f>AND(Hoja1!S35,"AAAAAH47/g8=")</f>
        <v>#VALUE!</v>
      </c>
      <c r="Q5" t="e">
        <f>AND(Hoja1!T35,"AAAAAH47/hA=")</f>
        <v>#VALUE!</v>
      </c>
      <c r="R5" t="e">
        <f>AND(Hoja1!U35,"AAAAAH47/hE=")</f>
        <v>#VALUE!</v>
      </c>
      <c r="S5" t="e">
        <f>AND(Hoja1!V35,"AAAAAH47/hI=")</f>
        <v>#VALUE!</v>
      </c>
      <c r="T5" t="e">
        <f>AND(Hoja1!W35,"AAAAAH47/hM=")</f>
        <v>#VALUE!</v>
      </c>
      <c r="U5" t="e">
        <f>AND(Hoja1!X35,"AAAAAH47/hQ=")</f>
        <v>#VALUE!</v>
      </c>
      <c r="V5" t="e">
        <f>AND(Hoja1!Y35,"AAAAAH47/hU=")</f>
        <v>#VALUE!</v>
      </c>
      <c r="W5" t="e">
        <f>AND(Hoja1!Z35,"AAAAAH47/hY=")</f>
        <v>#VALUE!</v>
      </c>
      <c r="X5" t="e">
        <f>AND(Hoja1!AA35,"AAAAAH47/hc=")</f>
        <v>#VALUE!</v>
      </c>
      <c r="Y5" t="e">
        <f>AND(Hoja1!AB35,"AAAAAH47/hg=")</f>
        <v>#VALUE!</v>
      </c>
      <c r="Z5" t="e">
        <f>AND(Hoja1!AC35,"AAAAAH47/hk=")</f>
        <v>#VALUE!</v>
      </c>
      <c r="AA5">
        <f>IF(Hoja1!36:36,"AAAAAH47/ho=",0)</f>
        <v>0</v>
      </c>
      <c r="AB5" t="e">
        <f>AND(Hoja1!A36,"AAAAAH47/hs=")</f>
        <v>#VALUE!</v>
      </c>
      <c r="AC5" t="e">
        <f>AND(Hoja1!B36,"AAAAAH47/hw=")</f>
        <v>#VALUE!</v>
      </c>
      <c r="AD5" t="e">
        <f>AND(Hoja1!C36,"AAAAAH47/h0=")</f>
        <v>#VALUE!</v>
      </c>
      <c r="AE5" t="e">
        <f>AND(Hoja1!D36,"AAAAAH47/h4=")</f>
        <v>#VALUE!</v>
      </c>
      <c r="AF5" t="e">
        <f>AND(Hoja1!E36,"AAAAAH47/h8=")</f>
        <v>#VALUE!</v>
      </c>
      <c r="AG5" t="e">
        <f>AND(Hoja1!F36,"AAAAAH47/iA=")</f>
        <v>#VALUE!</v>
      </c>
      <c r="AH5" t="e">
        <f>AND(Hoja1!G36,"AAAAAH47/iE=")</f>
        <v>#VALUE!</v>
      </c>
      <c r="AI5" t="e">
        <f>AND(Hoja1!H36,"AAAAAH47/iI=")</f>
        <v>#VALUE!</v>
      </c>
      <c r="AJ5" t="e">
        <f>AND(Hoja1!I36,"AAAAAH47/iM=")</f>
        <v>#VALUE!</v>
      </c>
      <c r="AK5" t="e">
        <f>AND(Hoja1!J36,"AAAAAH47/iQ=")</f>
        <v>#VALUE!</v>
      </c>
      <c r="AL5" t="e">
        <f>AND(Hoja1!K36,"AAAAAH47/iU=")</f>
        <v>#VALUE!</v>
      </c>
      <c r="AM5" t="e">
        <f>AND(Hoja1!L36,"AAAAAH47/iY=")</f>
        <v>#VALUE!</v>
      </c>
      <c r="AN5" t="e">
        <f>AND(Hoja1!M36,"AAAAAH47/ic=")</f>
        <v>#VALUE!</v>
      </c>
      <c r="AO5" t="e">
        <f>AND(Hoja1!N36,"AAAAAH47/ig=")</f>
        <v>#VALUE!</v>
      </c>
      <c r="AP5" t="e">
        <f>AND(Hoja1!O36,"AAAAAH47/ik=")</f>
        <v>#VALUE!</v>
      </c>
      <c r="AQ5" t="e">
        <f>AND(Hoja1!P36,"AAAAAH47/io=")</f>
        <v>#VALUE!</v>
      </c>
      <c r="AR5" t="e">
        <f>AND(Hoja1!Q36,"AAAAAH47/is=")</f>
        <v>#VALUE!</v>
      </c>
      <c r="AS5" t="e">
        <f>AND(Hoja1!R36,"AAAAAH47/iw=")</f>
        <v>#VALUE!</v>
      </c>
      <c r="AT5" t="e">
        <f>AND(Hoja1!S36,"AAAAAH47/i0=")</f>
        <v>#VALUE!</v>
      </c>
      <c r="AU5" t="e">
        <f>AND(Hoja1!T36,"AAAAAH47/i4=")</f>
        <v>#VALUE!</v>
      </c>
      <c r="AV5" t="e">
        <f>AND(Hoja1!U36,"AAAAAH47/i8=")</f>
        <v>#VALUE!</v>
      </c>
      <c r="AW5" t="e">
        <f>AND(Hoja1!V36,"AAAAAH47/jA=")</f>
        <v>#VALUE!</v>
      </c>
      <c r="AX5" t="e">
        <f>AND(Hoja1!W36,"AAAAAH47/jE=")</f>
        <v>#VALUE!</v>
      </c>
      <c r="AY5" t="e">
        <f>AND(Hoja1!X36,"AAAAAH47/jI=")</f>
        <v>#VALUE!</v>
      </c>
      <c r="AZ5" t="e">
        <f>AND(Hoja1!Y36,"AAAAAH47/jM=")</f>
        <v>#VALUE!</v>
      </c>
      <c r="BA5" t="e">
        <f>AND(Hoja1!Z36,"AAAAAH47/jQ=")</f>
        <v>#VALUE!</v>
      </c>
      <c r="BB5" t="e">
        <f>AND(Hoja1!AA36,"AAAAAH47/jU=")</f>
        <v>#VALUE!</v>
      </c>
      <c r="BC5" t="e">
        <f>AND(Hoja1!AB36,"AAAAAH47/jY=")</f>
        <v>#VALUE!</v>
      </c>
      <c r="BD5" t="e">
        <f>AND(Hoja1!AC36,"AAAAAH47/jc=")</f>
        <v>#VALUE!</v>
      </c>
      <c r="BE5">
        <f>IF(Hoja1!37:37,"AAAAAH47/jg=",0)</f>
        <v>0</v>
      </c>
      <c r="BF5" t="e">
        <f>AND(Hoja1!A37,"AAAAAH47/jk=")</f>
        <v>#VALUE!</v>
      </c>
      <c r="BG5" t="e">
        <f>AND(Hoja1!B37,"AAAAAH47/jo=")</f>
        <v>#VALUE!</v>
      </c>
      <c r="BH5" t="e">
        <f>AND(Hoja1!C37,"AAAAAH47/js=")</f>
        <v>#VALUE!</v>
      </c>
      <c r="BI5" t="e">
        <f>AND(Hoja1!D37,"AAAAAH47/jw=")</f>
        <v>#VALUE!</v>
      </c>
      <c r="BJ5" t="e">
        <f>AND(Hoja1!E37,"AAAAAH47/j0=")</f>
        <v>#VALUE!</v>
      </c>
      <c r="BK5" t="e">
        <f>AND(Hoja1!F37,"AAAAAH47/j4=")</f>
        <v>#VALUE!</v>
      </c>
      <c r="BL5" t="e">
        <f>AND(Hoja1!G37,"AAAAAH47/j8=")</f>
        <v>#VALUE!</v>
      </c>
      <c r="BM5" t="e">
        <f>AND(Hoja1!H37,"AAAAAH47/kA=")</f>
        <v>#VALUE!</v>
      </c>
      <c r="BN5" t="e">
        <f>AND(Hoja1!I37,"AAAAAH47/kE=")</f>
        <v>#VALUE!</v>
      </c>
      <c r="BO5" t="e">
        <f>AND(Hoja1!J37,"AAAAAH47/kI=")</f>
        <v>#VALUE!</v>
      </c>
      <c r="BP5" t="e">
        <f>AND(Hoja1!K37,"AAAAAH47/kM=")</f>
        <v>#VALUE!</v>
      </c>
      <c r="BQ5" t="e">
        <f>AND(Hoja1!L37,"AAAAAH47/kQ=")</f>
        <v>#VALUE!</v>
      </c>
      <c r="BR5" t="e">
        <f>AND(Hoja1!M37,"AAAAAH47/kU=")</f>
        <v>#VALUE!</v>
      </c>
      <c r="BS5" t="e">
        <f>AND(Hoja1!N37,"AAAAAH47/kY=")</f>
        <v>#VALUE!</v>
      </c>
      <c r="BT5" t="e">
        <f>AND(Hoja1!O37,"AAAAAH47/kc=")</f>
        <v>#VALUE!</v>
      </c>
      <c r="BU5" t="e">
        <f>AND(Hoja1!P37,"AAAAAH47/kg=")</f>
        <v>#VALUE!</v>
      </c>
      <c r="BV5" t="e">
        <f>AND(Hoja1!Q37,"AAAAAH47/kk=")</f>
        <v>#VALUE!</v>
      </c>
      <c r="BW5" t="e">
        <f>AND(Hoja1!R37,"AAAAAH47/ko=")</f>
        <v>#VALUE!</v>
      </c>
      <c r="BX5" t="e">
        <f>AND(Hoja1!S37,"AAAAAH47/ks=")</f>
        <v>#VALUE!</v>
      </c>
      <c r="BY5" t="e">
        <f>AND(Hoja1!T37,"AAAAAH47/kw=")</f>
        <v>#VALUE!</v>
      </c>
      <c r="BZ5" t="e">
        <f>AND(Hoja1!U37,"AAAAAH47/k0=")</f>
        <v>#VALUE!</v>
      </c>
      <c r="CA5" t="e">
        <f>AND(Hoja1!V37,"AAAAAH47/k4=")</f>
        <v>#VALUE!</v>
      </c>
      <c r="CB5" t="e">
        <f>AND(Hoja1!W37,"AAAAAH47/k8=")</f>
        <v>#VALUE!</v>
      </c>
      <c r="CC5" t="e">
        <f>AND(Hoja1!X37,"AAAAAH47/lA=")</f>
        <v>#VALUE!</v>
      </c>
      <c r="CD5" t="e">
        <f>AND(Hoja1!Y37,"AAAAAH47/lE=")</f>
        <v>#VALUE!</v>
      </c>
      <c r="CE5" t="e">
        <f>AND(Hoja1!Z37,"AAAAAH47/lI=")</f>
        <v>#VALUE!</v>
      </c>
      <c r="CF5" t="e">
        <f>AND(Hoja1!AA37,"AAAAAH47/lM=")</f>
        <v>#VALUE!</v>
      </c>
      <c r="CG5" t="e">
        <f>AND(Hoja1!AB37,"AAAAAH47/lQ=")</f>
        <v>#VALUE!</v>
      </c>
      <c r="CH5" t="e">
        <f>AND(Hoja1!AC37,"AAAAAH47/lU=")</f>
        <v>#VALUE!</v>
      </c>
      <c r="CI5">
        <f>IF(Hoja1!38:38,"AAAAAH47/lY=",0)</f>
        <v>0</v>
      </c>
      <c r="CJ5" t="e">
        <f>AND(Hoja1!A38,"AAAAAH47/lc=")</f>
        <v>#VALUE!</v>
      </c>
      <c r="CK5" t="e">
        <f>AND(Hoja1!B38,"AAAAAH47/lg=")</f>
        <v>#VALUE!</v>
      </c>
      <c r="CL5" t="e">
        <f>AND(Hoja1!C38,"AAAAAH47/lk=")</f>
        <v>#VALUE!</v>
      </c>
      <c r="CM5" t="e">
        <f>AND(Hoja1!D38,"AAAAAH47/lo=")</f>
        <v>#VALUE!</v>
      </c>
      <c r="CN5" t="e">
        <f>AND(Hoja1!E38,"AAAAAH47/ls=")</f>
        <v>#VALUE!</v>
      </c>
      <c r="CO5" t="e">
        <f>AND(Hoja1!F38,"AAAAAH47/lw=")</f>
        <v>#VALUE!</v>
      </c>
      <c r="CP5" t="e">
        <f>AND(Hoja1!G38,"AAAAAH47/l0=")</f>
        <v>#VALUE!</v>
      </c>
      <c r="CQ5" t="e">
        <f>AND(Hoja1!H38,"AAAAAH47/l4=")</f>
        <v>#VALUE!</v>
      </c>
      <c r="CR5" t="e">
        <f>AND(Hoja1!I38,"AAAAAH47/l8=")</f>
        <v>#VALUE!</v>
      </c>
      <c r="CS5" t="e">
        <f>AND(Hoja1!J38,"AAAAAH47/mA=")</f>
        <v>#VALUE!</v>
      </c>
      <c r="CT5" t="e">
        <f>AND(Hoja1!K38,"AAAAAH47/mE=")</f>
        <v>#VALUE!</v>
      </c>
      <c r="CU5" t="e">
        <f>AND(Hoja1!L38,"AAAAAH47/mI=")</f>
        <v>#VALUE!</v>
      </c>
      <c r="CV5" t="e">
        <f>AND(Hoja1!M38,"AAAAAH47/mM=")</f>
        <v>#VALUE!</v>
      </c>
      <c r="CW5" t="e">
        <f>AND(Hoja1!N38,"AAAAAH47/mQ=")</f>
        <v>#VALUE!</v>
      </c>
      <c r="CX5" t="e">
        <f>AND(Hoja1!O38,"AAAAAH47/mU=")</f>
        <v>#VALUE!</v>
      </c>
      <c r="CY5" t="e">
        <f>AND(Hoja1!P38,"AAAAAH47/mY=")</f>
        <v>#VALUE!</v>
      </c>
      <c r="CZ5" t="e">
        <f>AND(Hoja1!Q38,"AAAAAH47/mc=")</f>
        <v>#VALUE!</v>
      </c>
      <c r="DA5" t="e">
        <f>AND(Hoja1!R38,"AAAAAH47/mg=")</f>
        <v>#VALUE!</v>
      </c>
      <c r="DB5" t="e">
        <f>AND(Hoja1!S38,"AAAAAH47/mk=")</f>
        <v>#VALUE!</v>
      </c>
      <c r="DC5" t="e">
        <f>AND(Hoja1!T38,"AAAAAH47/mo=")</f>
        <v>#VALUE!</v>
      </c>
      <c r="DD5" t="e">
        <f>AND(Hoja1!U38,"AAAAAH47/ms=")</f>
        <v>#VALUE!</v>
      </c>
      <c r="DE5" t="e">
        <f>AND(Hoja1!V38,"AAAAAH47/mw=")</f>
        <v>#VALUE!</v>
      </c>
      <c r="DF5" t="e">
        <f>AND(Hoja1!W38,"AAAAAH47/m0=")</f>
        <v>#VALUE!</v>
      </c>
      <c r="DG5" t="e">
        <f>AND(Hoja1!X38,"AAAAAH47/m4=")</f>
        <v>#VALUE!</v>
      </c>
      <c r="DH5" t="e">
        <f>AND(Hoja1!Y38,"AAAAAH47/m8=")</f>
        <v>#VALUE!</v>
      </c>
      <c r="DI5" t="e">
        <f>AND(Hoja1!Z38,"AAAAAH47/nA=")</f>
        <v>#VALUE!</v>
      </c>
      <c r="DJ5" t="e">
        <f>AND(Hoja1!AA38,"AAAAAH47/nE=")</f>
        <v>#VALUE!</v>
      </c>
      <c r="DK5" t="e">
        <f>AND(Hoja1!AB38,"AAAAAH47/nI=")</f>
        <v>#VALUE!</v>
      </c>
      <c r="DL5" t="e">
        <f>AND(Hoja1!AC38,"AAAAAH47/nM=")</f>
        <v>#VALUE!</v>
      </c>
      <c r="DM5">
        <f>IF(Hoja1!39:39,"AAAAAH47/nQ=",0)</f>
        <v>0</v>
      </c>
      <c r="DN5" t="e">
        <f>AND(Hoja1!A39,"AAAAAH47/nU=")</f>
        <v>#VALUE!</v>
      </c>
      <c r="DO5" t="e">
        <f>AND(Hoja1!B39,"AAAAAH47/nY=")</f>
        <v>#VALUE!</v>
      </c>
      <c r="DP5" t="e">
        <f>AND(Hoja1!C39,"AAAAAH47/nc=")</f>
        <v>#VALUE!</v>
      </c>
      <c r="DQ5" t="e">
        <f>AND(Hoja1!D39,"AAAAAH47/ng=")</f>
        <v>#VALUE!</v>
      </c>
      <c r="DR5" t="e">
        <f>AND(Hoja1!E39,"AAAAAH47/nk=")</f>
        <v>#VALUE!</v>
      </c>
      <c r="DS5" t="e">
        <f>AND(Hoja1!F39,"AAAAAH47/no=")</f>
        <v>#VALUE!</v>
      </c>
      <c r="DT5" t="e">
        <f>AND(Hoja1!G39,"AAAAAH47/ns=")</f>
        <v>#VALUE!</v>
      </c>
      <c r="DU5" t="e">
        <f>AND(Hoja1!H39,"AAAAAH47/nw=")</f>
        <v>#VALUE!</v>
      </c>
      <c r="DV5" t="e">
        <f>AND(Hoja1!I39,"AAAAAH47/n0=")</f>
        <v>#VALUE!</v>
      </c>
      <c r="DW5" t="e">
        <f>AND(Hoja1!J39,"AAAAAH47/n4=")</f>
        <v>#VALUE!</v>
      </c>
      <c r="DX5" t="e">
        <f>AND(Hoja1!K39,"AAAAAH47/n8=")</f>
        <v>#VALUE!</v>
      </c>
      <c r="DY5" t="e">
        <f>AND(Hoja1!L39,"AAAAAH47/oA=")</f>
        <v>#VALUE!</v>
      </c>
      <c r="DZ5" t="e">
        <f>AND(Hoja1!M39,"AAAAAH47/oE=")</f>
        <v>#VALUE!</v>
      </c>
      <c r="EA5" t="e">
        <f>AND(Hoja1!N39,"AAAAAH47/oI=")</f>
        <v>#VALUE!</v>
      </c>
      <c r="EB5" t="e">
        <f>AND(Hoja1!O39,"AAAAAH47/oM=")</f>
        <v>#VALUE!</v>
      </c>
      <c r="EC5" t="e">
        <f>AND(Hoja1!P39,"AAAAAH47/oQ=")</f>
        <v>#VALUE!</v>
      </c>
      <c r="ED5" t="e">
        <f>AND(Hoja1!Q39,"AAAAAH47/oU=")</f>
        <v>#VALUE!</v>
      </c>
      <c r="EE5" t="e">
        <f>AND(Hoja1!R39,"AAAAAH47/oY=")</f>
        <v>#VALUE!</v>
      </c>
      <c r="EF5" t="e">
        <f>AND(Hoja1!S39,"AAAAAH47/oc=")</f>
        <v>#VALUE!</v>
      </c>
      <c r="EG5" t="e">
        <f>AND(Hoja1!T39,"AAAAAH47/og=")</f>
        <v>#VALUE!</v>
      </c>
      <c r="EH5" t="e">
        <f>AND(Hoja1!U39,"AAAAAH47/ok=")</f>
        <v>#VALUE!</v>
      </c>
      <c r="EI5" t="e">
        <f>AND(Hoja1!V39,"AAAAAH47/oo=")</f>
        <v>#VALUE!</v>
      </c>
      <c r="EJ5" t="e">
        <f>AND(Hoja1!W39,"AAAAAH47/os=")</f>
        <v>#VALUE!</v>
      </c>
      <c r="EK5" t="e">
        <f>AND(Hoja1!X39,"AAAAAH47/ow=")</f>
        <v>#VALUE!</v>
      </c>
      <c r="EL5" t="e">
        <f>AND(Hoja1!Y39,"AAAAAH47/o0=")</f>
        <v>#VALUE!</v>
      </c>
      <c r="EM5" t="e">
        <f>AND(Hoja1!Z39,"AAAAAH47/o4=")</f>
        <v>#VALUE!</v>
      </c>
      <c r="EN5" t="e">
        <f>AND(Hoja1!AA39,"AAAAAH47/o8=")</f>
        <v>#VALUE!</v>
      </c>
      <c r="EO5" t="e">
        <f>AND(Hoja1!AB39,"AAAAAH47/pA=")</f>
        <v>#VALUE!</v>
      </c>
      <c r="EP5" t="e">
        <f>AND(Hoja1!AC39,"AAAAAH47/pE=")</f>
        <v>#VALUE!</v>
      </c>
      <c r="EQ5">
        <f>IF(Hoja1!40:40,"AAAAAH47/pI=",0)</f>
        <v>0</v>
      </c>
      <c r="ER5" t="e">
        <f>AND(Hoja1!A40,"AAAAAH47/pM=")</f>
        <v>#VALUE!</v>
      </c>
      <c r="ES5" t="e">
        <f>AND(Hoja1!B40,"AAAAAH47/pQ=")</f>
        <v>#VALUE!</v>
      </c>
      <c r="ET5" t="e">
        <f>AND(Hoja1!C40,"AAAAAH47/pU=")</f>
        <v>#VALUE!</v>
      </c>
      <c r="EU5" t="e">
        <f>AND(Hoja1!D40,"AAAAAH47/pY=")</f>
        <v>#VALUE!</v>
      </c>
      <c r="EV5" t="e">
        <f>AND(Hoja1!E40,"AAAAAH47/pc=")</f>
        <v>#VALUE!</v>
      </c>
      <c r="EW5" t="e">
        <f>AND(Hoja1!F40,"AAAAAH47/pg=")</f>
        <v>#VALUE!</v>
      </c>
      <c r="EX5" t="e">
        <f>AND(Hoja1!G40,"AAAAAH47/pk=")</f>
        <v>#VALUE!</v>
      </c>
      <c r="EY5" t="e">
        <f>AND(Hoja1!H40,"AAAAAH47/po=")</f>
        <v>#VALUE!</v>
      </c>
      <c r="EZ5" t="e">
        <f>AND(Hoja1!I40,"AAAAAH47/ps=")</f>
        <v>#VALUE!</v>
      </c>
      <c r="FA5" t="e">
        <f>AND(Hoja1!J40,"AAAAAH47/pw=")</f>
        <v>#VALUE!</v>
      </c>
      <c r="FB5" t="e">
        <f>AND(Hoja1!K40,"AAAAAH47/p0=")</f>
        <v>#VALUE!</v>
      </c>
      <c r="FC5" t="e">
        <f>AND(Hoja1!L40,"AAAAAH47/p4=")</f>
        <v>#VALUE!</v>
      </c>
      <c r="FD5" t="e">
        <f>AND(Hoja1!M40,"AAAAAH47/p8=")</f>
        <v>#VALUE!</v>
      </c>
      <c r="FE5" t="e">
        <f>AND(Hoja1!N40,"AAAAAH47/qA=")</f>
        <v>#VALUE!</v>
      </c>
      <c r="FF5" t="e">
        <f>AND(Hoja1!O40,"AAAAAH47/qE=")</f>
        <v>#VALUE!</v>
      </c>
      <c r="FG5" t="e">
        <f>AND(Hoja1!P40,"AAAAAH47/qI=")</f>
        <v>#VALUE!</v>
      </c>
      <c r="FH5" t="e">
        <f>AND(Hoja1!Q40,"AAAAAH47/qM=")</f>
        <v>#VALUE!</v>
      </c>
      <c r="FI5" t="e">
        <f>AND(Hoja1!R40,"AAAAAH47/qQ=")</f>
        <v>#VALUE!</v>
      </c>
      <c r="FJ5" t="e">
        <f>AND(Hoja1!S40,"AAAAAH47/qU=")</f>
        <v>#VALUE!</v>
      </c>
      <c r="FK5" t="e">
        <f>AND(Hoja1!T40,"AAAAAH47/qY=")</f>
        <v>#VALUE!</v>
      </c>
      <c r="FL5" t="e">
        <f>AND(Hoja1!U40,"AAAAAH47/qc=")</f>
        <v>#VALUE!</v>
      </c>
      <c r="FM5" t="e">
        <f>AND(Hoja1!V40,"AAAAAH47/qg=")</f>
        <v>#VALUE!</v>
      </c>
      <c r="FN5" t="e">
        <f>AND(Hoja1!W40,"AAAAAH47/qk=")</f>
        <v>#VALUE!</v>
      </c>
      <c r="FO5" t="e">
        <f>AND(Hoja1!X40,"AAAAAH47/qo=")</f>
        <v>#VALUE!</v>
      </c>
      <c r="FP5" t="e">
        <f>AND(Hoja1!Y40,"AAAAAH47/qs=")</f>
        <v>#VALUE!</v>
      </c>
      <c r="FQ5" t="e">
        <f>AND(Hoja1!Z40,"AAAAAH47/qw=")</f>
        <v>#VALUE!</v>
      </c>
      <c r="FR5" t="e">
        <f>AND(Hoja1!AA40,"AAAAAH47/q0=")</f>
        <v>#VALUE!</v>
      </c>
      <c r="FS5" t="e">
        <f>AND(Hoja1!AB40,"AAAAAH47/q4=")</f>
        <v>#VALUE!</v>
      </c>
      <c r="FT5" t="e">
        <f>AND(Hoja1!AC40,"AAAAAH47/q8=")</f>
        <v>#VALUE!</v>
      </c>
      <c r="FU5">
        <f>IF(Hoja1!41:41,"AAAAAH47/rA=",0)</f>
        <v>0</v>
      </c>
      <c r="FV5" t="e">
        <f>AND(Hoja1!A41,"AAAAAH47/rE=")</f>
        <v>#VALUE!</v>
      </c>
      <c r="FW5" t="e">
        <f>AND(Hoja1!B41,"AAAAAH47/rI=")</f>
        <v>#VALUE!</v>
      </c>
      <c r="FX5" t="e">
        <f>AND(Hoja1!C41,"AAAAAH47/rM=")</f>
        <v>#VALUE!</v>
      </c>
      <c r="FY5" t="e">
        <f>AND(Hoja1!D41,"AAAAAH47/rQ=")</f>
        <v>#VALUE!</v>
      </c>
      <c r="FZ5" t="e">
        <f>AND(Hoja1!E41,"AAAAAH47/rU=")</f>
        <v>#VALUE!</v>
      </c>
      <c r="GA5" t="e">
        <f>AND(Hoja1!F41,"AAAAAH47/rY=")</f>
        <v>#VALUE!</v>
      </c>
      <c r="GB5" t="e">
        <f>AND(Hoja1!G41,"AAAAAH47/rc=")</f>
        <v>#VALUE!</v>
      </c>
      <c r="GC5" t="e">
        <f>AND(Hoja1!H41,"AAAAAH47/rg=")</f>
        <v>#VALUE!</v>
      </c>
      <c r="GD5" t="e">
        <f>AND(Hoja1!I41,"AAAAAH47/rk=")</f>
        <v>#VALUE!</v>
      </c>
      <c r="GE5" t="e">
        <f>AND(Hoja1!J41,"AAAAAH47/ro=")</f>
        <v>#VALUE!</v>
      </c>
      <c r="GF5" t="e">
        <f>AND(Hoja1!K41,"AAAAAH47/rs=")</f>
        <v>#VALUE!</v>
      </c>
      <c r="GG5" t="e">
        <f>AND(Hoja1!L41,"AAAAAH47/rw=")</f>
        <v>#VALUE!</v>
      </c>
      <c r="GH5" t="e">
        <f>AND(Hoja1!M41,"AAAAAH47/r0=")</f>
        <v>#VALUE!</v>
      </c>
      <c r="GI5" t="e">
        <f>AND(Hoja1!N41,"AAAAAH47/r4=")</f>
        <v>#VALUE!</v>
      </c>
      <c r="GJ5" t="e">
        <f>AND(Hoja1!O41,"AAAAAH47/r8=")</f>
        <v>#VALUE!</v>
      </c>
      <c r="GK5" t="e">
        <f>AND(Hoja1!P41,"AAAAAH47/sA=")</f>
        <v>#VALUE!</v>
      </c>
      <c r="GL5" t="e">
        <f>AND(Hoja1!Q41,"AAAAAH47/sE=")</f>
        <v>#VALUE!</v>
      </c>
      <c r="GM5" t="e">
        <f>AND(Hoja1!R41,"AAAAAH47/sI=")</f>
        <v>#VALUE!</v>
      </c>
      <c r="GN5" t="e">
        <f>AND(Hoja1!S41,"AAAAAH47/sM=")</f>
        <v>#VALUE!</v>
      </c>
      <c r="GO5" t="e">
        <f>AND(Hoja1!T41,"AAAAAH47/sQ=")</f>
        <v>#VALUE!</v>
      </c>
      <c r="GP5" t="e">
        <f>AND(Hoja1!U41,"AAAAAH47/sU=")</f>
        <v>#VALUE!</v>
      </c>
      <c r="GQ5" t="e">
        <f>AND(Hoja1!V41,"AAAAAH47/sY=")</f>
        <v>#VALUE!</v>
      </c>
      <c r="GR5" t="e">
        <f>AND(Hoja1!W41,"AAAAAH47/sc=")</f>
        <v>#VALUE!</v>
      </c>
      <c r="GS5" t="e">
        <f>AND(Hoja1!X41,"AAAAAH47/sg=")</f>
        <v>#VALUE!</v>
      </c>
      <c r="GT5" t="e">
        <f>AND(Hoja1!Y41,"AAAAAH47/sk=")</f>
        <v>#VALUE!</v>
      </c>
      <c r="GU5" t="e">
        <f>AND(Hoja1!Z41,"AAAAAH47/so=")</f>
        <v>#VALUE!</v>
      </c>
      <c r="GV5" t="e">
        <f>AND(Hoja1!AA41,"AAAAAH47/ss=")</f>
        <v>#VALUE!</v>
      </c>
      <c r="GW5" t="e">
        <f>AND(Hoja1!AB41,"AAAAAH47/sw=")</f>
        <v>#VALUE!</v>
      </c>
      <c r="GX5" t="e">
        <f>AND(Hoja1!AC41,"AAAAAH47/s0=")</f>
        <v>#VALUE!</v>
      </c>
      <c r="GY5">
        <f>IF(Hoja1!42:42,"AAAAAH47/s4=",0)</f>
        <v>0</v>
      </c>
      <c r="GZ5" t="e">
        <f>AND(Hoja1!A42,"AAAAAH47/s8=")</f>
        <v>#VALUE!</v>
      </c>
      <c r="HA5" t="e">
        <f>AND(Hoja1!B42,"AAAAAH47/tA=")</f>
        <v>#VALUE!</v>
      </c>
      <c r="HB5" t="e">
        <f>AND(Hoja1!C42,"AAAAAH47/tE=")</f>
        <v>#VALUE!</v>
      </c>
      <c r="HC5" t="e">
        <f>AND(Hoja1!D42,"AAAAAH47/tI=")</f>
        <v>#VALUE!</v>
      </c>
      <c r="HD5" t="e">
        <f>AND(Hoja1!E42,"AAAAAH47/tM=")</f>
        <v>#VALUE!</v>
      </c>
      <c r="HE5" t="e">
        <f>AND(Hoja1!F42,"AAAAAH47/tQ=")</f>
        <v>#VALUE!</v>
      </c>
      <c r="HF5" t="e">
        <f>AND(Hoja1!G42,"AAAAAH47/tU=")</f>
        <v>#VALUE!</v>
      </c>
      <c r="HG5" t="e">
        <f>AND(Hoja1!H42,"AAAAAH47/tY=")</f>
        <v>#VALUE!</v>
      </c>
      <c r="HH5" t="e">
        <f>AND(Hoja1!I42,"AAAAAH47/tc=")</f>
        <v>#VALUE!</v>
      </c>
      <c r="HI5" t="e">
        <f>AND(Hoja1!J42,"AAAAAH47/tg=")</f>
        <v>#VALUE!</v>
      </c>
      <c r="HJ5" t="e">
        <f>AND(Hoja1!K42,"AAAAAH47/tk=")</f>
        <v>#VALUE!</v>
      </c>
      <c r="HK5" t="e">
        <f>AND(Hoja1!L42,"AAAAAH47/to=")</f>
        <v>#VALUE!</v>
      </c>
      <c r="HL5" t="e">
        <f>AND(Hoja1!M42,"AAAAAH47/ts=")</f>
        <v>#VALUE!</v>
      </c>
      <c r="HM5" t="e">
        <f>AND(Hoja1!N42,"AAAAAH47/tw=")</f>
        <v>#VALUE!</v>
      </c>
      <c r="HN5" t="e">
        <f>AND(Hoja1!O42,"AAAAAH47/t0=")</f>
        <v>#VALUE!</v>
      </c>
      <c r="HO5" t="e">
        <f>AND(Hoja1!P42,"AAAAAH47/t4=")</f>
        <v>#VALUE!</v>
      </c>
      <c r="HP5" t="e">
        <f>AND(Hoja1!Q42,"AAAAAH47/t8=")</f>
        <v>#VALUE!</v>
      </c>
      <c r="HQ5" t="e">
        <f>AND(Hoja1!R42,"AAAAAH47/uA=")</f>
        <v>#VALUE!</v>
      </c>
      <c r="HR5" t="e">
        <f>AND(Hoja1!S42,"AAAAAH47/uE=")</f>
        <v>#VALUE!</v>
      </c>
      <c r="HS5" t="e">
        <f>AND(Hoja1!T42,"AAAAAH47/uI=")</f>
        <v>#VALUE!</v>
      </c>
      <c r="HT5" t="e">
        <f>AND(Hoja1!U42,"AAAAAH47/uM=")</f>
        <v>#VALUE!</v>
      </c>
      <c r="HU5" t="e">
        <f>AND(Hoja1!V42,"AAAAAH47/uQ=")</f>
        <v>#VALUE!</v>
      </c>
      <c r="HV5" t="e">
        <f>AND(Hoja1!W42,"AAAAAH47/uU=")</f>
        <v>#VALUE!</v>
      </c>
      <c r="HW5" t="e">
        <f>AND(Hoja1!X42,"AAAAAH47/uY=")</f>
        <v>#VALUE!</v>
      </c>
      <c r="HX5" t="e">
        <f>AND(Hoja1!Y42,"AAAAAH47/uc=")</f>
        <v>#VALUE!</v>
      </c>
      <c r="HY5" t="e">
        <f>AND(Hoja1!Z42,"AAAAAH47/ug=")</f>
        <v>#VALUE!</v>
      </c>
      <c r="HZ5" t="e">
        <f>AND(Hoja1!AA42,"AAAAAH47/uk=")</f>
        <v>#VALUE!</v>
      </c>
      <c r="IA5" t="e">
        <f>AND(Hoja1!AB42,"AAAAAH47/uo=")</f>
        <v>#VALUE!</v>
      </c>
      <c r="IB5" t="e">
        <f>AND(Hoja1!AC42,"AAAAAH47/us=")</f>
        <v>#VALUE!</v>
      </c>
      <c r="IC5">
        <f>IF(Hoja1!43:43,"AAAAAH47/uw=",0)</f>
        <v>0</v>
      </c>
      <c r="ID5" t="e">
        <f>AND(Hoja1!A43,"AAAAAH47/u0=")</f>
        <v>#VALUE!</v>
      </c>
      <c r="IE5" t="e">
        <f>AND(Hoja1!B43,"AAAAAH47/u4=")</f>
        <v>#VALUE!</v>
      </c>
      <c r="IF5" t="e">
        <f>AND(Hoja1!C43,"AAAAAH47/u8=")</f>
        <v>#VALUE!</v>
      </c>
      <c r="IG5" t="e">
        <f>AND(Hoja1!D43,"AAAAAH47/vA=")</f>
        <v>#VALUE!</v>
      </c>
      <c r="IH5" t="e">
        <f>AND(Hoja1!E43,"AAAAAH47/vE=")</f>
        <v>#VALUE!</v>
      </c>
      <c r="II5" t="e">
        <f>AND(Hoja1!F43,"AAAAAH47/vI=")</f>
        <v>#VALUE!</v>
      </c>
      <c r="IJ5" t="e">
        <f>AND(Hoja1!G43,"AAAAAH47/vM=")</f>
        <v>#VALUE!</v>
      </c>
      <c r="IK5" t="e">
        <f>AND(Hoja1!H43,"AAAAAH47/vQ=")</f>
        <v>#VALUE!</v>
      </c>
      <c r="IL5" t="e">
        <f>AND(Hoja1!I43,"AAAAAH47/vU=")</f>
        <v>#VALUE!</v>
      </c>
      <c r="IM5" t="e">
        <f>AND(Hoja1!J43,"AAAAAH47/vY=")</f>
        <v>#VALUE!</v>
      </c>
      <c r="IN5" t="e">
        <f>AND(Hoja1!K43,"AAAAAH47/vc=")</f>
        <v>#VALUE!</v>
      </c>
      <c r="IO5" t="e">
        <f>AND(Hoja1!L43,"AAAAAH47/vg=")</f>
        <v>#VALUE!</v>
      </c>
      <c r="IP5" t="e">
        <f>AND(Hoja1!M43,"AAAAAH47/vk=")</f>
        <v>#VALUE!</v>
      </c>
      <c r="IQ5" t="e">
        <f>AND(Hoja1!N43,"AAAAAH47/vo=")</f>
        <v>#VALUE!</v>
      </c>
      <c r="IR5" t="e">
        <f>AND(Hoja1!O43,"AAAAAH47/vs=")</f>
        <v>#VALUE!</v>
      </c>
      <c r="IS5" t="e">
        <f>AND(Hoja1!P43,"AAAAAH47/vw=")</f>
        <v>#VALUE!</v>
      </c>
      <c r="IT5" t="e">
        <f>AND(Hoja1!Q43,"AAAAAH47/v0=")</f>
        <v>#VALUE!</v>
      </c>
      <c r="IU5" t="e">
        <f>AND(Hoja1!R43,"AAAAAH47/v4=")</f>
        <v>#VALUE!</v>
      </c>
      <c r="IV5" t="e">
        <f>AND(Hoja1!S43,"AAAAAH47/v8=")</f>
        <v>#VALUE!</v>
      </c>
    </row>
    <row r="6" spans="1:256">
      <c r="A6" t="e">
        <f>AND(Hoja1!T43,"AAAAAHv6+QA=")</f>
        <v>#VALUE!</v>
      </c>
      <c r="B6" t="e">
        <f>AND(Hoja1!U43,"AAAAAHv6+QE=")</f>
        <v>#VALUE!</v>
      </c>
      <c r="C6" t="e">
        <f>AND(Hoja1!V43,"AAAAAHv6+QI=")</f>
        <v>#VALUE!</v>
      </c>
      <c r="D6" t="e">
        <f>AND(Hoja1!W43,"AAAAAHv6+QM=")</f>
        <v>#VALUE!</v>
      </c>
      <c r="E6" t="e">
        <f>AND(Hoja1!X43,"AAAAAHv6+QQ=")</f>
        <v>#VALUE!</v>
      </c>
      <c r="F6" t="e">
        <f>AND(Hoja1!Y43,"AAAAAHv6+QU=")</f>
        <v>#VALUE!</v>
      </c>
      <c r="G6" t="e">
        <f>AND(Hoja1!Z43,"AAAAAHv6+QY=")</f>
        <v>#VALUE!</v>
      </c>
      <c r="H6" t="e">
        <f>AND(Hoja1!AA43,"AAAAAHv6+Qc=")</f>
        <v>#VALUE!</v>
      </c>
      <c r="I6" t="e">
        <f>AND(Hoja1!AB43,"AAAAAHv6+Qg=")</f>
        <v>#VALUE!</v>
      </c>
      <c r="J6" t="e">
        <f>AND(Hoja1!AC43,"AAAAAHv6+Qk=")</f>
        <v>#VALUE!</v>
      </c>
      <c r="K6">
        <f>IF(Hoja1!44:44,"AAAAAHv6+Qo=",0)</f>
        <v>0</v>
      </c>
      <c r="L6" t="e">
        <f>AND(Hoja1!A44,"AAAAAHv6+Qs=")</f>
        <v>#VALUE!</v>
      </c>
      <c r="M6" t="e">
        <f>AND(Hoja1!B44,"AAAAAHv6+Qw=")</f>
        <v>#VALUE!</v>
      </c>
      <c r="N6" t="e">
        <f>AND(Hoja1!C44,"AAAAAHv6+Q0=")</f>
        <v>#VALUE!</v>
      </c>
      <c r="O6" t="e">
        <f>AND(Hoja1!D44,"AAAAAHv6+Q4=")</f>
        <v>#VALUE!</v>
      </c>
      <c r="P6" t="e">
        <f>AND(Hoja1!E44,"AAAAAHv6+Q8=")</f>
        <v>#VALUE!</v>
      </c>
      <c r="Q6" t="e">
        <f>AND(Hoja1!F44,"AAAAAHv6+RA=")</f>
        <v>#VALUE!</v>
      </c>
      <c r="R6" t="e">
        <f>AND(Hoja1!G44,"AAAAAHv6+RE=")</f>
        <v>#VALUE!</v>
      </c>
      <c r="S6" t="e">
        <f>AND(Hoja1!H44,"AAAAAHv6+RI=")</f>
        <v>#VALUE!</v>
      </c>
      <c r="T6" t="e">
        <f>AND(Hoja1!I44,"AAAAAHv6+RM=")</f>
        <v>#VALUE!</v>
      </c>
      <c r="U6" t="e">
        <f>AND(Hoja1!J44,"AAAAAHv6+RQ=")</f>
        <v>#VALUE!</v>
      </c>
      <c r="V6" t="e">
        <f>AND(Hoja1!K44,"AAAAAHv6+RU=")</f>
        <v>#VALUE!</v>
      </c>
      <c r="W6" t="e">
        <f>AND(Hoja1!L44,"AAAAAHv6+RY=")</f>
        <v>#VALUE!</v>
      </c>
      <c r="X6" t="e">
        <f>AND(Hoja1!M44,"AAAAAHv6+Rc=")</f>
        <v>#VALUE!</v>
      </c>
      <c r="Y6" t="e">
        <f>AND(Hoja1!N44,"AAAAAHv6+Rg=")</f>
        <v>#VALUE!</v>
      </c>
      <c r="Z6" t="e">
        <f>AND(Hoja1!O44,"AAAAAHv6+Rk=")</f>
        <v>#VALUE!</v>
      </c>
      <c r="AA6" t="e">
        <f>AND(Hoja1!P44,"AAAAAHv6+Ro=")</f>
        <v>#VALUE!</v>
      </c>
      <c r="AB6" t="e">
        <f>AND(Hoja1!Q44,"AAAAAHv6+Rs=")</f>
        <v>#VALUE!</v>
      </c>
      <c r="AC6" t="e">
        <f>AND(Hoja1!R44,"AAAAAHv6+Rw=")</f>
        <v>#VALUE!</v>
      </c>
      <c r="AD6" t="e">
        <f>AND(Hoja1!S44,"AAAAAHv6+R0=")</f>
        <v>#VALUE!</v>
      </c>
      <c r="AE6" t="e">
        <f>AND(Hoja1!T44,"AAAAAHv6+R4=")</f>
        <v>#VALUE!</v>
      </c>
      <c r="AF6" t="e">
        <f>AND(Hoja1!U44,"AAAAAHv6+R8=")</f>
        <v>#VALUE!</v>
      </c>
      <c r="AG6" t="e">
        <f>AND(Hoja1!V44,"AAAAAHv6+SA=")</f>
        <v>#VALUE!</v>
      </c>
      <c r="AH6" t="e">
        <f>AND(Hoja1!W44,"AAAAAHv6+SE=")</f>
        <v>#VALUE!</v>
      </c>
      <c r="AI6" t="e">
        <f>AND(Hoja1!X44,"AAAAAHv6+SI=")</f>
        <v>#VALUE!</v>
      </c>
      <c r="AJ6" t="e">
        <f>AND(Hoja1!Y44,"AAAAAHv6+SM=")</f>
        <v>#VALUE!</v>
      </c>
      <c r="AK6" t="e">
        <f>AND(Hoja1!Z44,"AAAAAHv6+SQ=")</f>
        <v>#VALUE!</v>
      </c>
      <c r="AL6" t="e">
        <f>AND(Hoja1!AA44,"AAAAAHv6+SU=")</f>
        <v>#VALUE!</v>
      </c>
      <c r="AM6" t="e">
        <f>AND(Hoja1!AB44,"AAAAAHv6+SY=")</f>
        <v>#VALUE!</v>
      </c>
      <c r="AN6" t="e">
        <f>AND(Hoja1!AC44,"AAAAAHv6+Sc=")</f>
        <v>#VALUE!</v>
      </c>
      <c r="AO6">
        <f>IF(Hoja1!45:45,"AAAAAHv6+Sg=",0)</f>
        <v>0</v>
      </c>
      <c r="AP6" t="e">
        <f>AND(Hoja1!A45,"AAAAAHv6+Sk=")</f>
        <v>#VALUE!</v>
      </c>
      <c r="AQ6" t="e">
        <f>AND(Hoja1!B45,"AAAAAHv6+So=")</f>
        <v>#VALUE!</v>
      </c>
      <c r="AR6" t="e">
        <f>AND(Hoja1!C45,"AAAAAHv6+Ss=")</f>
        <v>#VALUE!</v>
      </c>
      <c r="AS6" t="e">
        <f>AND(Hoja1!D45,"AAAAAHv6+Sw=")</f>
        <v>#VALUE!</v>
      </c>
      <c r="AT6" t="e">
        <f>AND(Hoja1!E45,"AAAAAHv6+S0=")</f>
        <v>#VALUE!</v>
      </c>
      <c r="AU6" t="e">
        <f>AND(Hoja1!F45,"AAAAAHv6+S4=")</f>
        <v>#VALUE!</v>
      </c>
      <c r="AV6" t="e">
        <f>AND(Hoja1!G45,"AAAAAHv6+S8=")</f>
        <v>#VALUE!</v>
      </c>
      <c r="AW6" t="e">
        <f>AND(Hoja1!H45,"AAAAAHv6+TA=")</f>
        <v>#VALUE!</v>
      </c>
      <c r="AX6" t="e">
        <f>AND(Hoja1!I45,"AAAAAHv6+TE=")</f>
        <v>#VALUE!</v>
      </c>
      <c r="AY6" t="e">
        <f>AND(Hoja1!J45,"AAAAAHv6+TI=")</f>
        <v>#VALUE!</v>
      </c>
      <c r="AZ6" t="e">
        <f>AND(Hoja1!K45,"AAAAAHv6+TM=")</f>
        <v>#VALUE!</v>
      </c>
      <c r="BA6" t="e">
        <f>AND(Hoja1!L45,"AAAAAHv6+TQ=")</f>
        <v>#VALUE!</v>
      </c>
      <c r="BB6" t="e">
        <f>AND(Hoja1!M45,"AAAAAHv6+TU=")</f>
        <v>#VALUE!</v>
      </c>
      <c r="BC6" t="e">
        <f>AND(Hoja1!N45,"AAAAAHv6+TY=")</f>
        <v>#VALUE!</v>
      </c>
      <c r="BD6" t="e">
        <f>AND(Hoja1!O45,"AAAAAHv6+Tc=")</f>
        <v>#VALUE!</v>
      </c>
      <c r="BE6" t="e">
        <f>AND(Hoja1!P45,"AAAAAHv6+Tg=")</f>
        <v>#VALUE!</v>
      </c>
      <c r="BF6" t="e">
        <f>AND(Hoja1!Q45,"AAAAAHv6+Tk=")</f>
        <v>#VALUE!</v>
      </c>
      <c r="BG6" t="e">
        <f>AND(Hoja1!R45,"AAAAAHv6+To=")</f>
        <v>#VALUE!</v>
      </c>
      <c r="BH6" t="e">
        <f>AND(Hoja1!S45,"AAAAAHv6+Ts=")</f>
        <v>#VALUE!</v>
      </c>
      <c r="BI6" t="e">
        <f>AND(Hoja1!T45,"AAAAAHv6+Tw=")</f>
        <v>#VALUE!</v>
      </c>
      <c r="BJ6" t="e">
        <f>AND(Hoja1!U45,"AAAAAHv6+T0=")</f>
        <v>#VALUE!</v>
      </c>
      <c r="BK6" t="e">
        <f>AND(Hoja1!V45,"AAAAAHv6+T4=")</f>
        <v>#VALUE!</v>
      </c>
      <c r="BL6" t="e">
        <f>AND(Hoja1!W45,"AAAAAHv6+T8=")</f>
        <v>#VALUE!</v>
      </c>
      <c r="BM6" t="e">
        <f>AND(Hoja1!X45,"AAAAAHv6+UA=")</f>
        <v>#VALUE!</v>
      </c>
      <c r="BN6" t="e">
        <f>AND(Hoja1!Y45,"AAAAAHv6+UE=")</f>
        <v>#VALUE!</v>
      </c>
      <c r="BO6" t="e">
        <f>AND(Hoja1!Z45,"AAAAAHv6+UI=")</f>
        <v>#VALUE!</v>
      </c>
      <c r="BP6" t="e">
        <f>AND(Hoja1!AA45,"AAAAAHv6+UM=")</f>
        <v>#VALUE!</v>
      </c>
      <c r="BQ6" t="e">
        <f>AND(Hoja1!AB45,"AAAAAHv6+UQ=")</f>
        <v>#VALUE!</v>
      </c>
      <c r="BR6" t="e">
        <f>AND(Hoja1!AC45,"AAAAAHv6+UU=")</f>
        <v>#VALUE!</v>
      </c>
      <c r="BS6">
        <f>IF(Hoja1!46:46,"AAAAAHv6+UY=",0)</f>
        <v>0</v>
      </c>
      <c r="BT6" t="e">
        <f>AND(Hoja1!A46,"AAAAAHv6+Uc=")</f>
        <v>#VALUE!</v>
      </c>
      <c r="BU6" t="e">
        <f>AND(Hoja1!B46,"AAAAAHv6+Ug=")</f>
        <v>#VALUE!</v>
      </c>
      <c r="BV6" t="e">
        <f>AND(Hoja1!C46,"AAAAAHv6+Uk=")</f>
        <v>#VALUE!</v>
      </c>
      <c r="BW6" t="e">
        <f>AND(Hoja1!D46,"AAAAAHv6+Uo=")</f>
        <v>#VALUE!</v>
      </c>
      <c r="BX6" t="e">
        <f>AND(Hoja1!E46,"AAAAAHv6+Us=")</f>
        <v>#VALUE!</v>
      </c>
      <c r="BY6" t="e">
        <f>AND(Hoja1!F46,"AAAAAHv6+Uw=")</f>
        <v>#VALUE!</v>
      </c>
      <c r="BZ6" t="e">
        <f>AND(Hoja1!G46,"AAAAAHv6+U0=")</f>
        <v>#VALUE!</v>
      </c>
      <c r="CA6" t="e">
        <f>AND(Hoja1!H46,"AAAAAHv6+U4=")</f>
        <v>#VALUE!</v>
      </c>
      <c r="CB6" t="e">
        <f>AND(Hoja1!I46,"AAAAAHv6+U8=")</f>
        <v>#VALUE!</v>
      </c>
      <c r="CC6" t="e">
        <f>AND(Hoja1!J46,"AAAAAHv6+VA=")</f>
        <v>#VALUE!</v>
      </c>
      <c r="CD6" t="e">
        <f>AND(Hoja1!K46,"AAAAAHv6+VE=")</f>
        <v>#VALUE!</v>
      </c>
      <c r="CE6" t="e">
        <f>AND(Hoja1!L46,"AAAAAHv6+VI=")</f>
        <v>#VALUE!</v>
      </c>
      <c r="CF6" t="e">
        <f>AND(Hoja1!M46,"AAAAAHv6+VM=")</f>
        <v>#VALUE!</v>
      </c>
      <c r="CG6" t="e">
        <f>AND(Hoja1!N46,"AAAAAHv6+VQ=")</f>
        <v>#VALUE!</v>
      </c>
      <c r="CH6" t="e">
        <f>AND(Hoja1!O46,"AAAAAHv6+VU=")</f>
        <v>#VALUE!</v>
      </c>
      <c r="CI6" t="e">
        <f>AND(Hoja1!P46,"AAAAAHv6+VY=")</f>
        <v>#VALUE!</v>
      </c>
      <c r="CJ6" t="e">
        <f>AND(Hoja1!Q46,"AAAAAHv6+Vc=")</f>
        <v>#VALUE!</v>
      </c>
      <c r="CK6" t="e">
        <f>AND(Hoja1!R46,"AAAAAHv6+Vg=")</f>
        <v>#VALUE!</v>
      </c>
      <c r="CL6" t="e">
        <f>AND(Hoja1!S46,"AAAAAHv6+Vk=")</f>
        <v>#VALUE!</v>
      </c>
      <c r="CM6" t="e">
        <f>AND(Hoja1!T46,"AAAAAHv6+Vo=")</f>
        <v>#VALUE!</v>
      </c>
      <c r="CN6" t="e">
        <f>AND(Hoja1!U46,"AAAAAHv6+Vs=")</f>
        <v>#VALUE!</v>
      </c>
      <c r="CO6" t="e">
        <f>AND(Hoja1!V46,"AAAAAHv6+Vw=")</f>
        <v>#VALUE!</v>
      </c>
      <c r="CP6" t="e">
        <f>AND(Hoja1!W46,"AAAAAHv6+V0=")</f>
        <v>#VALUE!</v>
      </c>
      <c r="CQ6" t="e">
        <f>AND(Hoja1!X46,"AAAAAHv6+V4=")</f>
        <v>#VALUE!</v>
      </c>
      <c r="CR6" t="e">
        <f>AND(Hoja1!Y46,"AAAAAHv6+V8=")</f>
        <v>#VALUE!</v>
      </c>
      <c r="CS6" t="e">
        <f>AND(Hoja1!Z46,"AAAAAHv6+WA=")</f>
        <v>#VALUE!</v>
      </c>
      <c r="CT6" t="e">
        <f>AND(Hoja1!AA46,"AAAAAHv6+WE=")</f>
        <v>#VALUE!</v>
      </c>
      <c r="CU6" t="e">
        <f>AND(Hoja1!AB46,"AAAAAHv6+WI=")</f>
        <v>#VALUE!</v>
      </c>
      <c r="CV6" t="e">
        <f>AND(Hoja1!AC46,"AAAAAHv6+WM=")</f>
        <v>#VALUE!</v>
      </c>
      <c r="CW6">
        <f>IF(Hoja1!47:47,"AAAAAHv6+WQ=",0)</f>
        <v>0</v>
      </c>
      <c r="CX6" t="e">
        <f>AND(Hoja1!A47,"AAAAAHv6+WU=")</f>
        <v>#VALUE!</v>
      </c>
      <c r="CY6" t="e">
        <f>AND(Hoja1!B47,"AAAAAHv6+WY=")</f>
        <v>#VALUE!</v>
      </c>
      <c r="CZ6" t="e">
        <f>AND(Hoja1!C47,"AAAAAHv6+Wc=")</f>
        <v>#VALUE!</v>
      </c>
      <c r="DA6" t="e">
        <f>AND(Hoja1!D47,"AAAAAHv6+Wg=")</f>
        <v>#VALUE!</v>
      </c>
      <c r="DB6" t="e">
        <f>AND(Hoja1!E47,"AAAAAHv6+Wk=")</f>
        <v>#VALUE!</v>
      </c>
      <c r="DC6" t="e">
        <f>AND(Hoja1!F47,"AAAAAHv6+Wo=")</f>
        <v>#VALUE!</v>
      </c>
      <c r="DD6" t="e">
        <f>AND(Hoja1!G47,"AAAAAHv6+Ws=")</f>
        <v>#VALUE!</v>
      </c>
      <c r="DE6" t="e">
        <f>AND(Hoja1!H47,"AAAAAHv6+Ww=")</f>
        <v>#VALUE!</v>
      </c>
      <c r="DF6" t="e">
        <f>AND(Hoja1!I47,"AAAAAHv6+W0=")</f>
        <v>#VALUE!</v>
      </c>
      <c r="DG6" t="e">
        <f>AND(Hoja1!J47,"AAAAAHv6+W4=")</f>
        <v>#VALUE!</v>
      </c>
      <c r="DH6" t="e">
        <f>AND(Hoja1!K47,"AAAAAHv6+W8=")</f>
        <v>#VALUE!</v>
      </c>
      <c r="DI6" t="e">
        <f>AND(Hoja1!L47,"AAAAAHv6+XA=")</f>
        <v>#VALUE!</v>
      </c>
      <c r="DJ6" t="e">
        <f>AND(Hoja1!M47,"AAAAAHv6+XE=")</f>
        <v>#VALUE!</v>
      </c>
      <c r="DK6" t="e">
        <f>AND(Hoja1!N47,"AAAAAHv6+XI=")</f>
        <v>#VALUE!</v>
      </c>
      <c r="DL6" t="e">
        <f>AND(Hoja1!O47,"AAAAAHv6+XM=")</f>
        <v>#VALUE!</v>
      </c>
      <c r="DM6" t="e">
        <f>AND(Hoja1!P47,"AAAAAHv6+XQ=")</f>
        <v>#VALUE!</v>
      </c>
      <c r="DN6" t="e">
        <f>AND(Hoja1!Q47,"AAAAAHv6+XU=")</f>
        <v>#VALUE!</v>
      </c>
      <c r="DO6" t="e">
        <f>AND(Hoja1!R47,"AAAAAHv6+XY=")</f>
        <v>#VALUE!</v>
      </c>
      <c r="DP6" t="e">
        <f>AND(Hoja1!S47,"AAAAAHv6+Xc=")</f>
        <v>#VALUE!</v>
      </c>
      <c r="DQ6" t="e">
        <f>AND(Hoja1!T47,"AAAAAHv6+Xg=")</f>
        <v>#VALUE!</v>
      </c>
      <c r="DR6" t="e">
        <f>AND(Hoja1!U47,"AAAAAHv6+Xk=")</f>
        <v>#VALUE!</v>
      </c>
      <c r="DS6" t="e">
        <f>AND(Hoja1!V47,"AAAAAHv6+Xo=")</f>
        <v>#VALUE!</v>
      </c>
      <c r="DT6" t="e">
        <f>AND(Hoja1!W47,"AAAAAHv6+Xs=")</f>
        <v>#VALUE!</v>
      </c>
      <c r="DU6" t="e">
        <f>AND(Hoja1!X47,"AAAAAHv6+Xw=")</f>
        <v>#VALUE!</v>
      </c>
      <c r="DV6" t="e">
        <f>AND(Hoja1!Y47,"AAAAAHv6+X0=")</f>
        <v>#VALUE!</v>
      </c>
      <c r="DW6" t="e">
        <f>AND(Hoja1!Z47,"AAAAAHv6+X4=")</f>
        <v>#VALUE!</v>
      </c>
      <c r="DX6" t="e">
        <f>AND(Hoja1!AA47,"AAAAAHv6+X8=")</f>
        <v>#VALUE!</v>
      </c>
      <c r="DY6" t="e">
        <f>AND(Hoja1!AB47,"AAAAAHv6+YA=")</f>
        <v>#VALUE!</v>
      </c>
      <c r="DZ6" t="e">
        <f>AND(Hoja1!AC47,"AAAAAHv6+YE=")</f>
        <v>#VALUE!</v>
      </c>
      <c r="EA6">
        <f>IF(Hoja1!48:48,"AAAAAHv6+YI=",0)</f>
        <v>0</v>
      </c>
      <c r="EB6" t="e">
        <f>AND(Hoja1!A48,"AAAAAHv6+YM=")</f>
        <v>#VALUE!</v>
      </c>
      <c r="EC6" t="e">
        <f>AND(Hoja1!B48,"AAAAAHv6+YQ=")</f>
        <v>#VALUE!</v>
      </c>
      <c r="ED6" t="e">
        <f>AND(Hoja1!C48,"AAAAAHv6+YU=")</f>
        <v>#VALUE!</v>
      </c>
      <c r="EE6" t="e">
        <f>AND(Hoja1!D48,"AAAAAHv6+YY=")</f>
        <v>#VALUE!</v>
      </c>
      <c r="EF6" t="e">
        <f>AND(Hoja1!E48,"AAAAAHv6+Yc=")</f>
        <v>#VALUE!</v>
      </c>
      <c r="EG6" t="e">
        <f>AND(Hoja1!F48,"AAAAAHv6+Yg=")</f>
        <v>#VALUE!</v>
      </c>
      <c r="EH6" t="e">
        <f>AND(Hoja1!G48,"AAAAAHv6+Yk=")</f>
        <v>#VALUE!</v>
      </c>
      <c r="EI6" t="e">
        <f>AND(Hoja1!H48,"AAAAAHv6+Yo=")</f>
        <v>#VALUE!</v>
      </c>
      <c r="EJ6" t="e">
        <f>AND(Hoja1!I48,"AAAAAHv6+Ys=")</f>
        <v>#VALUE!</v>
      </c>
      <c r="EK6" t="e">
        <f>AND(Hoja1!J48,"AAAAAHv6+Yw=")</f>
        <v>#VALUE!</v>
      </c>
      <c r="EL6" t="e">
        <f>AND(Hoja1!K48,"AAAAAHv6+Y0=")</f>
        <v>#VALUE!</v>
      </c>
      <c r="EM6" t="e">
        <f>AND(Hoja1!L48,"AAAAAHv6+Y4=")</f>
        <v>#VALUE!</v>
      </c>
      <c r="EN6" t="e">
        <f>AND(Hoja1!M48,"AAAAAHv6+Y8=")</f>
        <v>#VALUE!</v>
      </c>
      <c r="EO6" t="e">
        <f>AND(Hoja1!N48,"AAAAAHv6+ZA=")</f>
        <v>#VALUE!</v>
      </c>
      <c r="EP6" t="e">
        <f>AND(Hoja1!O48,"AAAAAHv6+ZE=")</f>
        <v>#VALUE!</v>
      </c>
      <c r="EQ6" t="e">
        <f>AND(Hoja1!P48,"AAAAAHv6+ZI=")</f>
        <v>#VALUE!</v>
      </c>
      <c r="ER6" t="e">
        <f>AND(Hoja1!Q48,"AAAAAHv6+ZM=")</f>
        <v>#VALUE!</v>
      </c>
      <c r="ES6" t="e">
        <f>AND(Hoja1!R48,"AAAAAHv6+ZQ=")</f>
        <v>#VALUE!</v>
      </c>
      <c r="ET6" t="e">
        <f>AND(Hoja1!S48,"AAAAAHv6+ZU=")</f>
        <v>#VALUE!</v>
      </c>
      <c r="EU6" t="e">
        <f>AND(Hoja1!T48,"AAAAAHv6+ZY=")</f>
        <v>#VALUE!</v>
      </c>
      <c r="EV6" t="e">
        <f>AND(Hoja1!U48,"AAAAAHv6+Zc=")</f>
        <v>#VALUE!</v>
      </c>
      <c r="EW6" t="e">
        <f>AND(Hoja1!V48,"AAAAAHv6+Zg=")</f>
        <v>#VALUE!</v>
      </c>
      <c r="EX6" t="e">
        <f>AND(Hoja1!W48,"AAAAAHv6+Zk=")</f>
        <v>#VALUE!</v>
      </c>
      <c r="EY6" t="e">
        <f>AND(Hoja1!X48,"AAAAAHv6+Zo=")</f>
        <v>#VALUE!</v>
      </c>
      <c r="EZ6" t="e">
        <f>AND(Hoja1!Y48,"AAAAAHv6+Zs=")</f>
        <v>#VALUE!</v>
      </c>
      <c r="FA6" t="e">
        <f>AND(Hoja1!Z48,"AAAAAHv6+Zw=")</f>
        <v>#VALUE!</v>
      </c>
      <c r="FB6" t="e">
        <f>AND(Hoja1!AA48,"AAAAAHv6+Z0=")</f>
        <v>#VALUE!</v>
      </c>
      <c r="FC6" t="e">
        <f>AND(Hoja1!AB48,"AAAAAHv6+Z4=")</f>
        <v>#VALUE!</v>
      </c>
      <c r="FD6" t="e">
        <f>AND(Hoja1!AC48,"AAAAAHv6+Z8=")</f>
        <v>#VALUE!</v>
      </c>
      <c r="FE6">
        <f>IF(Hoja1!49:49,"AAAAAHv6+aA=",0)</f>
        <v>0</v>
      </c>
      <c r="FF6" t="e">
        <f>AND(Hoja1!A49,"AAAAAHv6+aE=")</f>
        <v>#VALUE!</v>
      </c>
      <c r="FG6" t="e">
        <f>AND(Hoja1!B49,"AAAAAHv6+aI=")</f>
        <v>#VALUE!</v>
      </c>
      <c r="FH6" t="e">
        <f>AND(Hoja1!C49,"AAAAAHv6+aM=")</f>
        <v>#VALUE!</v>
      </c>
      <c r="FI6" t="e">
        <f>AND(Hoja1!D49,"AAAAAHv6+aQ=")</f>
        <v>#VALUE!</v>
      </c>
      <c r="FJ6" t="e">
        <f>AND(Hoja1!E49,"AAAAAHv6+aU=")</f>
        <v>#VALUE!</v>
      </c>
      <c r="FK6" t="e">
        <f>AND(Hoja1!F49,"AAAAAHv6+aY=")</f>
        <v>#VALUE!</v>
      </c>
      <c r="FL6" t="e">
        <f>AND(Hoja1!G49,"AAAAAHv6+ac=")</f>
        <v>#VALUE!</v>
      </c>
      <c r="FM6" t="e">
        <f>AND(Hoja1!H49,"AAAAAHv6+ag=")</f>
        <v>#VALUE!</v>
      </c>
      <c r="FN6" t="e">
        <f>AND(Hoja1!I49,"AAAAAHv6+ak=")</f>
        <v>#VALUE!</v>
      </c>
      <c r="FO6" t="e">
        <f>AND(Hoja1!J49,"AAAAAHv6+ao=")</f>
        <v>#VALUE!</v>
      </c>
      <c r="FP6" t="e">
        <f>AND(Hoja1!K49,"AAAAAHv6+as=")</f>
        <v>#VALUE!</v>
      </c>
      <c r="FQ6" t="e">
        <f>AND(Hoja1!L49,"AAAAAHv6+aw=")</f>
        <v>#VALUE!</v>
      </c>
      <c r="FR6" t="e">
        <f>AND(Hoja1!M49,"AAAAAHv6+a0=")</f>
        <v>#VALUE!</v>
      </c>
      <c r="FS6" t="e">
        <f>AND(Hoja1!N49,"AAAAAHv6+a4=")</f>
        <v>#VALUE!</v>
      </c>
      <c r="FT6" t="e">
        <f>AND(Hoja1!O49,"AAAAAHv6+a8=")</f>
        <v>#VALUE!</v>
      </c>
      <c r="FU6" t="e">
        <f>AND(Hoja1!P49,"AAAAAHv6+bA=")</f>
        <v>#VALUE!</v>
      </c>
      <c r="FV6" t="e">
        <f>AND(Hoja1!Q49,"AAAAAHv6+bE=")</f>
        <v>#VALUE!</v>
      </c>
      <c r="FW6" t="e">
        <f>AND(Hoja1!R49,"AAAAAHv6+bI=")</f>
        <v>#VALUE!</v>
      </c>
      <c r="FX6" t="e">
        <f>AND(Hoja1!S49,"AAAAAHv6+bM=")</f>
        <v>#VALUE!</v>
      </c>
      <c r="FY6" t="e">
        <f>AND(Hoja1!T49,"AAAAAHv6+bQ=")</f>
        <v>#VALUE!</v>
      </c>
      <c r="FZ6" t="e">
        <f>AND(Hoja1!U49,"AAAAAHv6+bU=")</f>
        <v>#VALUE!</v>
      </c>
      <c r="GA6" t="e">
        <f>AND(Hoja1!V49,"AAAAAHv6+bY=")</f>
        <v>#VALUE!</v>
      </c>
      <c r="GB6" t="e">
        <f>AND(Hoja1!W49,"AAAAAHv6+bc=")</f>
        <v>#VALUE!</v>
      </c>
      <c r="GC6" t="e">
        <f>AND(Hoja1!X49,"AAAAAHv6+bg=")</f>
        <v>#VALUE!</v>
      </c>
      <c r="GD6" t="e">
        <f>AND(Hoja1!Y49,"AAAAAHv6+bk=")</f>
        <v>#VALUE!</v>
      </c>
      <c r="GE6" t="e">
        <f>AND(Hoja1!Z49,"AAAAAHv6+bo=")</f>
        <v>#VALUE!</v>
      </c>
      <c r="GF6" t="e">
        <f>AND(Hoja1!AA49,"AAAAAHv6+bs=")</f>
        <v>#VALUE!</v>
      </c>
      <c r="GG6" t="e">
        <f>AND(Hoja1!AB49,"AAAAAHv6+bw=")</f>
        <v>#VALUE!</v>
      </c>
      <c r="GH6" t="e">
        <f>AND(Hoja1!AC49,"AAAAAHv6+b0=")</f>
        <v>#VALUE!</v>
      </c>
      <c r="GI6">
        <f>IF(Hoja1!50:50,"AAAAAHv6+b4=",0)</f>
        <v>0</v>
      </c>
      <c r="GJ6" t="e">
        <f>AND(Hoja1!A50,"AAAAAHv6+b8=")</f>
        <v>#VALUE!</v>
      </c>
      <c r="GK6" t="e">
        <f>AND(Hoja1!B50,"AAAAAHv6+cA=")</f>
        <v>#VALUE!</v>
      </c>
      <c r="GL6" t="e">
        <f>AND(Hoja1!C50,"AAAAAHv6+cE=")</f>
        <v>#VALUE!</v>
      </c>
      <c r="GM6" t="e">
        <f>AND(Hoja1!D50,"AAAAAHv6+cI=")</f>
        <v>#VALUE!</v>
      </c>
      <c r="GN6" t="e">
        <f>AND(Hoja1!E50,"AAAAAHv6+cM=")</f>
        <v>#VALUE!</v>
      </c>
      <c r="GO6" t="e">
        <f>AND(Hoja1!F50,"AAAAAHv6+cQ=")</f>
        <v>#VALUE!</v>
      </c>
      <c r="GP6" t="e">
        <f>AND(Hoja1!G50,"AAAAAHv6+cU=")</f>
        <v>#VALUE!</v>
      </c>
      <c r="GQ6" t="e">
        <f>AND(Hoja1!H50,"AAAAAHv6+cY=")</f>
        <v>#VALUE!</v>
      </c>
      <c r="GR6" t="e">
        <f>AND(Hoja1!I50,"AAAAAHv6+cc=")</f>
        <v>#VALUE!</v>
      </c>
      <c r="GS6" t="e">
        <f>AND(Hoja1!J50,"AAAAAHv6+cg=")</f>
        <v>#VALUE!</v>
      </c>
      <c r="GT6" t="e">
        <f>AND(Hoja1!K50,"AAAAAHv6+ck=")</f>
        <v>#VALUE!</v>
      </c>
      <c r="GU6" t="e">
        <f>AND(Hoja1!L50,"AAAAAHv6+co=")</f>
        <v>#VALUE!</v>
      </c>
      <c r="GV6" t="e">
        <f>AND(Hoja1!M50,"AAAAAHv6+cs=")</f>
        <v>#VALUE!</v>
      </c>
      <c r="GW6" t="e">
        <f>AND(Hoja1!N50,"AAAAAHv6+cw=")</f>
        <v>#VALUE!</v>
      </c>
      <c r="GX6" t="e">
        <f>AND(Hoja1!O50,"AAAAAHv6+c0=")</f>
        <v>#VALUE!</v>
      </c>
      <c r="GY6" t="e">
        <f>AND(Hoja1!P50,"AAAAAHv6+c4=")</f>
        <v>#VALUE!</v>
      </c>
      <c r="GZ6" t="e">
        <f>AND(Hoja1!Q50,"AAAAAHv6+c8=")</f>
        <v>#VALUE!</v>
      </c>
      <c r="HA6" t="e">
        <f>AND(Hoja1!R50,"AAAAAHv6+dA=")</f>
        <v>#VALUE!</v>
      </c>
      <c r="HB6" t="e">
        <f>AND(Hoja1!S50,"AAAAAHv6+dE=")</f>
        <v>#VALUE!</v>
      </c>
      <c r="HC6" t="e">
        <f>AND(Hoja1!T50,"AAAAAHv6+dI=")</f>
        <v>#VALUE!</v>
      </c>
      <c r="HD6" t="e">
        <f>AND(Hoja1!U50,"AAAAAHv6+dM=")</f>
        <v>#VALUE!</v>
      </c>
      <c r="HE6" t="e">
        <f>AND(Hoja1!V50,"AAAAAHv6+dQ=")</f>
        <v>#VALUE!</v>
      </c>
      <c r="HF6" t="e">
        <f>AND(Hoja1!W50,"AAAAAHv6+dU=")</f>
        <v>#VALUE!</v>
      </c>
      <c r="HG6" t="e">
        <f>AND(Hoja1!X50,"AAAAAHv6+dY=")</f>
        <v>#VALUE!</v>
      </c>
      <c r="HH6" t="e">
        <f>AND(Hoja1!Y50,"AAAAAHv6+dc=")</f>
        <v>#VALUE!</v>
      </c>
      <c r="HI6" t="e">
        <f>AND(Hoja1!Z50,"AAAAAHv6+dg=")</f>
        <v>#VALUE!</v>
      </c>
      <c r="HJ6" t="e">
        <f>AND(Hoja1!AA50,"AAAAAHv6+dk=")</f>
        <v>#VALUE!</v>
      </c>
      <c r="HK6" t="e">
        <f>AND(Hoja1!AB50,"AAAAAHv6+do=")</f>
        <v>#VALUE!</v>
      </c>
      <c r="HL6" t="e">
        <f>AND(Hoja1!AC50,"AAAAAHv6+ds=")</f>
        <v>#VALUE!</v>
      </c>
      <c r="HM6">
        <f>IF(Hoja1!51:51,"AAAAAHv6+dw=",0)</f>
        <v>0</v>
      </c>
      <c r="HN6" t="e">
        <f>AND(Hoja1!A51,"AAAAAHv6+d0=")</f>
        <v>#VALUE!</v>
      </c>
      <c r="HO6" t="e">
        <f>AND(Hoja1!B51,"AAAAAHv6+d4=")</f>
        <v>#VALUE!</v>
      </c>
      <c r="HP6" t="e">
        <f>AND(Hoja1!C51,"AAAAAHv6+d8=")</f>
        <v>#VALUE!</v>
      </c>
      <c r="HQ6" t="e">
        <f>AND(Hoja1!D51,"AAAAAHv6+eA=")</f>
        <v>#VALUE!</v>
      </c>
      <c r="HR6" t="e">
        <f>AND(Hoja1!E51,"AAAAAHv6+eE=")</f>
        <v>#VALUE!</v>
      </c>
      <c r="HS6" t="e">
        <f>AND(Hoja1!F51,"AAAAAHv6+eI=")</f>
        <v>#VALUE!</v>
      </c>
      <c r="HT6" t="e">
        <f>AND(Hoja1!G51,"AAAAAHv6+eM=")</f>
        <v>#VALUE!</v>
      </c>
      <c r="HU6" t="e">
        <f>AND(Hoja1!H51,"AAAAAHv6+eQ=")</f>
        <v>#VALUE!</v>
      </c>
      <c r="HV6" t="e">
        <f>AND(Hoja1!I51,"AAAAAHv6+eU=")</f>
        <v>#VALUE!</v>
      </c>
      <c r="HW6" t="e">
        <f>AND(Hoja1!J51,"AAAAAHv6+eY=")</f>
        <v>#VALUE!</v>
      </c>
      <c r="HX6" t="e">
        <f>AND(Hoja1!K51,"AAAAAHv6+ec=")</f>
        <v>#VALUE!</v>
      </c>
      <c r="HY6" t="e">
        <f>AND(Hoja1!L51,"AAAAAHv6+eg=")</f>
        <v>#VALUE!</v>
      </c>
      <c r="HZ6" t="e">
        <f>AND(Hoja1!M51,"AAAAAHv6+ek=")</f>
        <v>#VALUE!</v>
      </c>
      <c r="IA6" t="e">
        <f>AND(Hoja1!N51,"AAAAAHv6+eo=")</f>
        <v>#VALUE!</v>
      </c>
      <c r="IB6" t="e">
        <f>AND(Hoja1!O51,"AAAAAHv6+es=")</f>
        <v>#VALUE!</v>
      </c>
      <c r="IC6" t="e">
        <f>AND(Hoja1!P51,"AAAAAHv6+ew=")</f>
        <v>#VALUE!</v>
      </c>
      <c r="ID6" t="e">
        <f>AND(Hoja1!Q51,"AAAAAHv6+e0=")</f>
        <v>#VALUE!</v>
      </c>
      <c r="IE6" t="e">
        <f>AND(Hoja1!R51,"AAAAAHv6+e4=")</f>
        <v>#VALUE!</v>
      </c>
      <c r="IF6" t="e">
        <f>AND(Hoja1!S51,"AAAAAHv6+e8=")</f>
        <v>#VALUE!</v>
      </c>
      <c r="IG6" t="e">
        <f>AND(Hoja1!T51,"AAAAAHv6+fA=")</f>
        <v>#VALUE!</v>
      </c>
      <c r="IH6" t="e">
        <f>AND(Hoja1!U51,"AAAAAHv6+fE=")</f>
        <v>#VALUE!</v>
      </c>
      <c r="II6" t="e">
        <f>AND(Hoja1!V51,"AAAAAHv6+fI=")</f>
        <v>#VALUE!</v>
      </c>
      <c r="IJ6" t="e">
        <f>AND(Hoja1!W51,"AAAAAHv6+fM=")</f>
        <v>#VALUE!</v>
      </c>
      <c r="IK6" t="e">
        <f>AND(Hoja1!X51,"AAAAAHv6+fQ=")</f>
        <v>#VALUE!</v>
      </c>
      <c r="IL6" t="e">
        <f>AND(Hoja1!Y51,"AAAAAHv6+fU=")</f>
        <v>#VALUE!</v>
      </c>
      <c r="IM6" t="e">
        <f>AND(Hoja1!Z51,"AAAAAHv6+fY=")</f>
        <v>#VALUE!</v>
      </c>
      <c r="IN6" t="e">
        <f>AND(Hoja1!AA51,"AAAAAHv6+fc=")</f>
        <v>#VALUE!</v>
      </c>
      <c r="IO6" t="e">
        <f>AND(Hoja1!AB51,"AAAAAHv6+fg=")</f>
        <v>#VALUE!</v>
      </c>
      <c r="IP6" t="e">
        <f>AND(Hoja1!AC51,"AAAAAHv6+fk=")</f>
        <v>#VALUE!</v>
      </c>
      <c r="IQ6">
        <f>IF(Hoja1!52:52,"AAAAAHv6+fo=",0)</f>
        <v>0</v>
      </c>
      <c r="IR6" t="e">
        <f>AND(Hoja1!A52,"AAAAAHv6+fs=")</f>
        <v>#VALUE!</v>
      </c>
      <c r="IS6" t="e">
        <f>AND(Hoja1!B52,"AAAAAHv6+fw=")</f>
        <v>#VALUE!</v>
      </c>
      <c r="IT6" t="e">
        <f>AND(Hoja1!C52,"AAAAAHv6+f0=")</f>
        <v>#VALUE!</v>
      </c>
      <c r="IU6" t="e">
        <f>AND(Hoja1!D52,"AAAAAHv6+f4=")</f>
        <v>#VALUE!</v>
      </c>
      <c r="IV6" t="e">
        <f>AND(Hoja1!E52,"AAAAAHv6+f8=")</f>
        <v>#VALUE!</v>
      </c>
    </row>
    <row r="7" spans="1:256">
      <c r="A7" t="e">
        <f>AND(Hoja1!F52,"AAAAAFqd9wA=")</f>
        <v>#VALUE!</v>
      </c>
      <c r="B7" t="e">
        <f>AND(Hoja1!G52,"AAAAAFqd9wE=")</f>
        <v>#VALUE!</v>
      </c>
      <c r="C7" t="e">
        <f>AND(Hoja1!H52,"AAAAAFqd9wI=")</f>
        <v>#VALUE!</v>
      </c>
      <c r="D7" t="e">
        <f>AND(Hoja1!I52,"AAAAAFqd9wM=")</f>
        <v>#VALUE!</v>
      </c>
      <c r="E7" t="e">
        <f>AND(Hoja1!J52,"AAAAAFqd9wQ=")</f>
        <v>#VALUE!</v>
      </c>
      <c r="F7" t="e">
        <f>AND(Hoja1!K52,"AAAAAFqd9wU=")</f>
        <v>#VALUE!</v>
      </c>
      <c r="G7" t="e">
        <f>AND(Hoja1!L52,"AAAAAFqd9wY=")</f>
        <v>#VALUE!</v>
      </c>
      <c r="H7" t="e">
        <f>AND(Hoja1!M52,"AAAAAFqd9wc=")</f>
        <v>#VALUE!</v>
      </c>
      <c r="I7" t="e">
        <f>AND(Hoja1!N52,"AAAAAFqd9wg=")</f>
        <v>#VALUE!</v>
      </c>
      <c r="J7" t="e">
        <f>AND(Hoja1!O52,"AAAAAFqd9wk=")</f>
        <v>#VALUE!</v>
      </c>
      <c r="K7" t="e">
        <f>AND(Hoja1!P52,"AAAAAFqd9wo=")</f>
        <v>#VALUE!</v>
      </c>
      <c r="L7" t="e">
        <f>AND(Hoja1!Q52,"AAAAAFqd9ws=")</f>
        <v>#VALUE!</v>
      </c>
      <c r="M7" t="e">
        <f>AND(Hoja1!R52,"AAAAAFqd9ww=")</f>
        <v>#VALUE!</v>
      </c>
      <c r="N7" t="e">
        <f>AND(Hoja1!S52,"AAAAAFqd9w0=")</f>
        <v>#VALUE!</v>
      </c>
      <c r="O7" t="e">
        <f>AND(Hoja1!T52,"AAAAAFqd9w4=")</f>
        <v>#VALUE!</v>
      </c>
      <c r="P7" t="e">
        <f>AND(Hoja1!U52,"AAAAAFqd9w8=")</f>
        <v>#VALUE!</v>
      </c>
      <c r="Q7" t="e">
        <f>AND(Hoja1!V52,"AAAAAFqd9xA=")</f>
        <v>#VALUE!</v>
      </c>
      <c r="R7" t="e">
        <f>AND(Hoja1!W52,"AAAAAFqd9xE=")</f>
        <v>#VALUE!</v>
      </c>
      <c r="S7" t="e">
        <f>AND(Hoja1!X52,"AAAAAFqd9xI=")</f>
        <v>#VALUE!</v>
      </c>
      <c r="T7" t="e">
        <f>AND(Hoja1!Y52,"AAAAAFqd9xM=")</f>
        <v>#VALUE!</v>
      </c>
      <c r="U7" t="e">
        <f>AND(Hoja1!Z52,"AAAAAFqd9xQ=")</f>
        <v>#VALUE!</v>
      </c>
      <c r="V7" t="e">
        <f>AND(Hoja1!AA52,"AAAAAFqd9xU=")</f>
        <v>#VALUE!</v>
      </c>
      <c r="W7" t="e">
        <f>AND(Hoja1!AB52,"AAAAAFqd9xY=")</f>
        <v>#VALUE!</v>
      </c>
      <c r="X7" t="e">
        <f>AND(Hoja1!AC52,"AAAAAFqd9xc=")</f>
        <v>#VALUE!</v>
      </c>
      <c r="Y7">
        <f>IF(Hoja1!53:53,"AAAAAFqd9xg=",0)</f>
        <v>0</v>
      </c>
      <c r="Z7" t="e">
        <f>AND(Hoja1!A53,"AAAAAFqd9xk=")</f>
        <v>#VALUE!</v>
      </c>
      <c r="AA7" t="e">
        <f>AND(Hoja1!B53,"AAAAAFqd9xo=")</f>
        <v>#VALUE!</v>
      </c>
      <c r="AB7" t="e">
        <f>AND(Hoja1!C53,"AAAAAFqd9xs=")</f>
        <v>#VALUE!</v>
      </c>
      <c r="AC7" t="e">
        <f>AND(Hoja1!D53,"AAAAAFqd9xw=")</f>
        <v>#VALUE!</v>
      </c>
      <c r="AD7" t="e">
        <f>AND(Hoja1!E53,"AAAAAFqd9x0=")</f>
        <v>#VALUE!</v>
      </c>
      <c r="AE7" t="e">
        <f>AND(Hoja1!F53,"AAAAAFqd9x4=")</f>
        <v>#VALUE!</v>
      </c>
      <c r="AF7" t="e">
        <f>AND(Hoja1!G53,"AAAAAFqd9x8=")</f>
        <v>#VALUE!</v>
      </c>
      <c r="AG7" t="e">
        <f>AND(Hoja1!H53,"AAAAAFqd9yA=")</f>
        <v>#VALUE!</v>
      </c>
      <c r="AH7" t="e">
        <f>AND(Hoja1!I53,"AAAAAFqd9yE=")</f>
        <v>#VALUE!</v>
      </c>
      <c r="AI7" t="e">
        <f>AND(Hoja1!J53,"AAAAAFqd9yI=")</f>
        <v>#VALUE!</v>
      </c>
      <c r="AJ7" t="e">
        <f>AND(Hoja1!K53,"AAAAAFqd9yM=")</f>
        <v>#VALUE!</v>
      </c>
      <c r="AK7" t="e">
        <f>AND(Hoja1!L53,"AAAAAFqd9yQ=")</f>
        <v>#VALUE!</v>
      </c>
      <c r="AL7" t="e">
        <f>AND(Hoja1!M53,"AAAAAFqd9yU=")</f>
        <v>#VALUE!</v>
      </c>
      <c r="AM7" t="e">
        <f>AND(Hoja1!N53,"AAAAAFqd9yY=")</f>
        <v>#VALUE!</v>
      </c>
      <c r="AN7" t="e">
        <f>AND(Hoja1!O53,"AAAAAFqd9yc=")</f>
        <v>#VALUE!</v>
      </c>
      <c r="AO7" t="e">
        <f>AND(Hoja1!P53,"AAAAAFqd9yg=")</f>
        <v>#VALUE!</v>
      </c>
      <c r="AP7" t="e">
        <f>AND(Hoja1!Q53,"AAAAAFqd9yk=")</f>
        <v>#VALUE!</v>
      </c>
      <c r="AQ7" t="e">
        <f>AND(Hoja1!R53,"AAAAAFqd9yo=")</f>
        <v>#VALUE!</v>
      </c>
      <c r="AR7" t="e">
        <f>AND(Hoja1!S53,"AAAAAFqd9ys=")</f>
        <v>#VALUE!</v>
      </c>
      <c r="AS7" t="e">
        <f>AND(Hoja1!T53,"AAAAAFqd9yw=")</f>
        <v>#VALUE!</v>
      </c>
      <c r="AT7" t="e">
        <f>AND(Hoja1!U53,"AAAAAFqd9y0=")</f>
        <v>#VALUE!</v>
      </c>
      <c r="AU7" t="e">
        <f>AND(Hoja1!V53,"AAAAAFqd9y4=")</f>
        <v>#VALUE!</v>
      </c>
      <c r="AV7" t="e">
        <f>AND(Hoja1!W53,"AAAAAFqd9y8=")</f>
        <v>#VALUE!</v>
      </c>
      <c r="AW7" t="e">
        <f>AND(Hoja1!X53,"AAAAAFqd9zA=")</f>
        <v>#VALUE!</v>
      </c>
      <c r="AX7" t="e">
        <f>AND(Hoja1!Y53,"AAAAAFqd9zE=")</f>
        <v>#VALUE!</v>
      </c>
      <c r="AY7" t="e">
        <f>AND(Hoja1!Z53,"AAAAAFqd9zI=")</f>
        <v>#VALUE!</v>
      </c>
      <c r="AZ7" t="e">
        <f>AND(Hoja1!AA53,"AAAAAFqd9zM=")</f>
        <v>#VALUE!</v>
      </c>
      <c r="BA7" t="e">
        <f>AND(Hoja1!AB53,"AAAAAFqd9zQ=")</f>
        <v>#VALUE!</v>
      </c>
      <c r="BB7" t="e">
        <f>AND(Hoja1!AC53,"AAAAAFqd9zU=")</f>
        <v>#VALUE!</v>
      </c>
      <c r="BC7">
        <f>IF(Hoja1!54:54,"AAAAAFqd9zY=",0)</f>
        <v>0</v>
      </c>
      <c r="BD7" t="e">
        <f>AND(Hoja1!A54,"AAAAAFqd9zc=")</f>
        <v>#VALUE!</v>
      </c>
      <c r="BE7" t="e">
        <f>AND(Hoja1!B54,"AAAAAFqd9zg=")</f>
        <v>#VALUE!</v>
      </c>
      <c r="BF7" t="e">
        <f>AND(Hoja1!C54,"AAAAAFqd9zk=")</f>
        <v>#VALUE!</v>
      </c>
      <c r="BG7" t="e">
        <f>AND(Hoja1!D54,"AAAAAFqd9zo=")</f>
        <v>#VALUE!</v>
      </c>
      <c r="BH7" t="e">
        <f>AND(Hoja1!E54,"AAAAAFqd9zs=")</f>
        <v>#VALUE!</v>
      </c>
      <c r="BI7" t="e">
        <f>AND(Hoja1!F54,"AAAAAFqd9zw=")</f>
        <v>#VALUE!</v>
      </c>
      <c r="BJ7" t="e">
        <f>AND(Hoja1!G54,"AAAAAFqd9z0=")</f>
        <v>#VALUE!</v>
      </c>
      <c r="BK7" t="e">
        <f>AND(Hoja1!H54,"AAAAAFqd9z4=")</f>
        <v>#VALUE!</v>
      </c>
      <c r="BL7" t="e">
        <f>AND(Hoja1!I54,"AAAAAFqd9z8=")</f>
        <v>#VALUE!</v>
      </c>
      <c r="BM7" t="e">
        <f>AND(Hoja1!J54,"AAAAAFqd90A=")</f>
        <v>#VALUE!</v>
      </c>
      <c r="BN7" t="e">
        <f>AND(Hoja1!K54,"AAAAAFqd90E=")</f>
        <v>#VALUE!</v>
      </c>
      <c r="BO7" t="e">
        <f>AND(Hoja1!L54,"AAAAAFqd90I=")</f>
        <v>#VALUE!</v>
      </c>
      <c r="BP7" t="e">
        <f>AND(Hoja1!M54,"AAAAAFqd90M=")</f>
        <v>#VALUE!</v>
      </c>
      <c r="BQ7" t="e">
        <f>AND(Hoja1!N54,"AAAAAFqd90Q=")</f>
        <v>#VALUE!</v>
      </c>
      <c r="BR7" t="e">
        <f>AND(Hoja1!O54,"AAAAAFqd90U=")</f>
        <v>#VALUE!</v>
      </c>
      <c r="BS7" t="e">
        <f>AND(Hoja1!P54,"AAAAAFqd90Y=")</f>
        <v>#VALUE!</v>
      </c>
      <c r="BT7" t="e">
        <f>AND(Hoja1!Q54,"AAAAAFqd90c=")</f>
        <v>#VALUE!</v>
      </c>
      <c r="BU7" t="e">
        <f>AND(Hoja1!R54,"AAAAAFqd90g=")</f>
        <v>#VALUE!</v>
      </c>
      <c r="BV7" t="e">
        <f>AND(Hoja1!S54,"AAAAAFqd90k=")</f>
        <v>#VALUE!</v>
      </c>
      <c r="BW7" t="e">
        <f>AND(Hoja1!T54,"AAAAAFqd90o=")</f>
        <v>#VALUE!</v>
      </c>
      <c r="BX7" t="e">
        <f>AND(Hoja1!U54,"AAAAAFqd90s=")</f>
        <v>#VALUE!</v>
      </c>
      <c r="BY7" t="e">
        <f>AND(Hoja1!V54,"AAAAAFqd90w=")</f>
        <v>#VALUE!</v>
      </c>
      <c r="BZ7" t="e">
        <f>AND(Hoja1!W54,"AAAAAFqd900=")</f>
        <v>#VALUE!</v>
      </c>
      <c r="CA7" t="e">
        <f>AND(Hoja1!X54,"AAAAAFqd904=")</f>
        <v>#VALUE!</v>
      </c>
      <c r="CB7" t="e">
        <f>AND(Hoja1!Y54,"AAAAAFqd908=")</f>
        <v>#VALUE!</v>
      </c>
      <c r="CC7" t="e">
        <f>AND(Hoja1!Z54,"AAAAAFqd91A=")</f>
        <v>#VALUE!</v>
      </c>
      <c r="CD7" t="e">
        <f>AND(Hoja1!AA54,"AAAAAFqd91E=")</f>
        <v>#VALUE!</v>
      </c>
      <c r="CE7" t="e">
        <f>AND(Hoja1!AB54,"AAAAAFqd91I=")</f>
        <v>#VALUE!</v>
      </c>
      <c r="CF7" t="e">
        <f>AND(Hoja1!AC54,"AAAAAFqd91M=")</f>
        <v>#VALUE!</v>
      </c>
      <c r="CG7">
        <f>IF(Hoja1!55:55,"AAAAAFqd91Q=",0)</f>
        <v>0</v>
      </c>
      <c r="CH7" t="e">
        <f>AND(Hoja1!A55,"AAAAAFqd91U=")</f>
        <v>#VALUE!</v>
      </c>
      <c r="CI7" t="e">
        <f>AND(Hoja1!B55,"AAAAAFqd91Y=")</f>
        <v>#VALUE!</v>
      </c>
      <c r="CJ7" t="e">
        <f>AND(Hoja1!C55,"AAAAAFqd91c=")</f>
        <v>#VALUE!</v>
      </c>
      <c r="CK7" t="e">
        <f>AND(Hoja1!D55,"AAAAAFqd91g=")</f>
        <v>#VALUE!</v>
      </c>
      <c r="CL7" t="e">
        <f>AND(Hoja1!E55,"AAAAAFqd91k=")</f>
        <v>#VALUE!</v>
      </c>
      <c r="CM7" t="e">
        <f>AND(Hoja1!F55,"AAAAAFqd91o=")</f>
        <v>#VALUE!</v>
      </c>
      <c r="CN7" t="e">
        <f>AND(Hoja1!G55,"AAAAAFqd91s=")</f>
        <v>#VALUE!</v>
      </c>
      <c r="CO7" t="e">
        <f>AND(Hoja1!H55,"AAAAAFqd91w=")</f>
        <v>#VALUE!</v>
      </c>
      <c r="CP7" t="e">
        <f>AND(Hoja1!I55,"AAAAAFqd910=")</f>
        <v>#VALUE!</v>
      </c>
      <c r="CQ7" t="e">
        <f>AND(Hoja1!J55,"AAAAAFqd914=")</f>
        <v>#VALUE!</v>
      </c>
      <c r="CR7" t="e">
        <f>AND(Hoja1!K55,"AAAAAFqd918=")</f>
        <v>#VALUE!</v>
      </c>
      <c r="CS7" t="e">
        <f>AND(Hoja1!L55,"AAAAAFqd92A=")</f>
        <v>#VALUE!</v>
      </c>
      <c r="CT7" t="e">
        <f>AND(Hoja1!M55,"AAAAAFqd92E=")</f>
        <v>#VALUE!</v>
      </c>
      <c r="CU7" t="e">
        <f>AND(Hoja1!N55,"AAAAAFqd92I=")</f>
        <v>#VALUE!</v>
      </c>
      <c r="CV7" t="e">
        <f>AND(Hoja1!O55,"AAAAAFqd92M=")</f>
        <v>#VALUE!</v>
      </c>
      <c r="CW7" t="e">
        <f>AND(Hoja1!P55,"AAAAAFqd92Q=")</f>
        <v>#VALUE!</v>
      </c>
      <c r="CX7" t="e">
        <f>AND(Hoja1!Q55,"AAAAAFqd92U=")</f>
        <v>#VALUE!</v>
      </c>
      <c r="CY7" t="e">
        <f>AND(Hoja1!R55,"AAAAAFqd92Y=")</f>
        <v>#VALUE!</v>
      </c>
      <c r="CZ7" t="e">
        <f>AND(Hoja1!S55,"AAAAAFqd92c=")</f>
        <v>#VALUE!</v>
      </c>
      <c r="DA7" t="e">
        <f>AND(Hoja1!T55,"AAAAAFqd92g=")</f>
        <v>#VALUE!</v>
      </c>
      <c r="DB7" t="e">
        <f>AND(Hoja1!U55,"AAAAAFqd92k=")</f>
        <v>#VALUE!</v>
      </c>
      <c r="DC7" t="e">
        <f>AND(Hoja1!V55,"AAAAAFqd92o=")</f>
        <v>#VALUE!</v>
      </c>
      <c r="DD7" t="e">
        <f>AND(Hoja1!W55,"AAAAAFqd92s=")</f>
        <v>#VALUE!</v>
      </c>
      <c r="DE7" t="e">
        <f>AND(Hoja1!X55,"AAAAAFqd92w=")</f>
        <v>#VALUE!</v>
      </c>
      <c r="DF7" t="e">
        <f>AND(Hoja1!Y55,"AAAAAFqd920=")</f>
        <v>#VALUE!</v>
      </c>
      <c r="DG7" t="e">
        <f>AND(Hoja1!Z55,"AAAAAFqd924=")</f>
        <v>#VALUE!</v>
      </c>
      <c r="DH7" t="e">
        <f>AND(Hoja1!AA55,"AAAAAFqd928=")</f>
        <v>#VALUE!</v>
      </c>
      <c r="DI7" t="e">
        <f>AND(Hoja1!AB55,"AAAAAFqd93A=")</f>
        <v>#VALUE!</v>
      </c>
      <c r="DJ7" t="e">
        <f>AND(Hoja1!AC55,"AAAAAFqd93E=")</f>
        <v>#VALUE!</v>
      </c>
      <c r="DK7">
        <f>IF(Hoja1!A:A,"AAAAAFqd93I=",0)</f>
        <v>0</v>
      </c>
      <c r="DL7">
        <f>IF(Hoja1!B:B,"AAAAAFqd93M=",0)</f>
        <v>0</v>
      </c>
      <c r="DM7">
        <f>IF(Hoja1!C:C,"AAAAAFqd93Q=",0)</f>
        <v>0</v>
      </c>
      <c r="DN7">
        <f>IF(Hoja1!D:D,"AAAAAFqd93U=",0)</f>
        <v>0</v>
      </c>
      <c r="DO7">
        <f>IF(Hoja1!E:E,"AAAAAFqd93Y=",0)</f>
        <v>0</v>
      </c>
      <c r="DP7">
        <f>IF(Hoja1!F:F,"AAAAAFqd93c=",0)</f>
        <v>0</v>
      </c>
      <c r="DQ7">
        <f>IF(Hoja1!G:G,"AAAAAFqd93g=",0)</f>
        <v>0</v>
      </c>
      <c r="DR7">
        <f>IF(Hoja1!H:H,"AAAAAFqd93k=",0)</f>
        <v>0</v>
      </c>
      <c r="DS7">
        <f>IF(Hoja1!I:I,"AAAAAFqd93o=",0)</f>
        <v>0</v>
      </c>
      <c r="DT7">
        <f>IF(Hoja1!J:J,"AAAAAFqd93s=",0)</f>
        <v>0</v>
      </c>
      <c r="DU7">
        <f>IF(Hoja1!K:K,"AAAAAFqd93w=",0)</f>
        <v>0</v>
      </c>
      <c r="DV7">
        <f>IF(Hoja1!L:L,"AAAAAFqd930=",0)</f>
        <v>0</v>
      </c>
      <c r="DW7">
        <f>IF(Hoja1!M:M,"AAAAAFqd934=",0)</f>
        <v>0</v>
      </c>
      <c r="DX7">
        <f>IF(Hoja1!N:N,"AAAAAFqd938=",0)</f>
        <v>0</v>
      </c>
      <c r="DY7">
        <f>IF(Hoja1!O:O,"AAAAAFqd94A=",0)</f>
        <v>0</v>
      </c>
      <c r="DZ7">
        <f>IF(Hoja1!P:P,"AAAAAFqd94E=",0)</f>
        <v>0</v>
      </c>
      <c r="EA7">
        <f>IF(Hoja1!Q:Q,"AAAAAFqd94I=",0)</f>
        <v>0</v>
      </c>
      <c r="EB7">
        <f>IF(Hoja1!R:R,"AAAAAFqd94M=",0)</f>
        <v>0</v>
      </c>
      <c r="EC7">
        <f>IF(Hoja1!S:S,"AAAAAFqd94Q=",0)</f>
        <v>0</v>
      </c>
      <c r="ED7">
        <f>IF(Hoja1!T:T,"AAAAAFqd94U=",0)</f>
        <v>0</v>
      </c>
      <c r="EE7">
        <f>IF(Hoja1!U:U,"AAAAAFqd94Y=",0)</f>
        <v>0</v>
      </c>
      <c r="EF7">
        <f>IF(Hoja1!V:V,"AAAAAFqd94c=",0)</f>
        <v>0</v>
      </c>
      <c r="EG7">
        <f>IF(Hoja1!W:W,"AAAAAFqd94g=",0)</f>
        <v>0</v>
      </c>
      <c r="EH7">
        <f>IF(Hoja1!X:X,"AAAAAFqd94k=",0)</f>
        <v>0</v>
      </c>
      <c r="EI7">
        <f>IF(Hoja1!Y:Y,"AAAAAFqd94o=",0)</f>
        <v>0</v>
      </c>
      <c r="EJ7">
        <f>IF(Hoja1!Z:Z,"AAAAAFqd94s=",0)</f>
        <v>0</v>
      </c>
      <c r="EK7">
        <f>IF(Hoja1!AA:AA,"AAAAAFqd94w=",0)</f>
        <v>0</v>
      </c>
      <c r="EL7">
        <f>IF(Hoja1!AB:AB,"AAAAAFqd940=",0)</f>
        <v>0</v>
      </c>
      <c r="EM7">
        <f>IF(Hoja1!AC:AC,"AAAAAFqd944=",0)</f>
        <v>0</v>
      </c>
      <c r="EN7">
        <f>IF(Hoja2!1:1,"AAAAAFqd948=",0)</f>
        <v>0</v>
      </c>
      <c r="EO7" t="e">
        <f>AND(Hoja2!A1,"AAAAAFqd95A=")</f>
        <v>#VALUE!</v>
      </c>
      <c r="EP7">
        <f>IF(Hoja2!A:A,"AAAAAFqd95E=",0)</f>
        <v>0</v>
      </c>
      <c r="EQ7">
        <f>IF(Hoja3!1:1,"AAAAAFqd95I=",0)</f>
        <v>0</v>
      </c>
      <c r="ER7" t="e">
        <f>AND(Hoja3!A1,"AAAAAFqd95M=")</f>
        <v>#VALUE!</v>
      </c>
      <c r="ES7">
        <f>IF(Hoja3!A:A,"AAAAAFqd95Q=",0)</f>
        <v>0</v>
      </c>
      <c r="ET7" t="s">
        <v>33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VC</dc:creator>
  <cp:lastModifiedBy>Usuario</cp:lastModifiedBy>
  <cp:lastPrinted>2011-05-17T15:21:05Z</cp:lastPrinted>
  <dcterms:created xsi:type="dcterms:W3CDTF">2011-03-11T13:29:26Z</dcterms:created>
  <dcterms:modified xsi:type="dcterms:W3CDTF">2011-05-17T23:49:07Z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DocumentId">
    <vt:lpwstr>1wNS9ybt7TK9X9AZ2237b8JCeD3vHx5_dkvFQiettbW8</vt:lpwstr>
  </property>
  <property fmtid="{D5CDD505-2E9C-101B-9397-08002B2CF9AE}" pid="3" name="Google.Documents.RevisionId">
    <vt:lpwstr>13197437986559008877</vt:lpwstr>
  </property>
  <property fmtid="{D5CDD505-2E9C-101B-9397-08002B2CF9AE}" pid="4" name="Google.Documents.PluginVersion">
    <vt:lpwstr>2.0.2026.3768</vt:lpwstr>
  </property>
  <property fmtid="{D5CDD505-2E9C-101B-9397-08002B2CF9AE}" pid="5" name="Google.Documents.MergeIncapabilityFlags">
    <vt:i4>0</vt:i4>
  </property>
  <property fmtid="{D5CDD505-2E9C-101B-9397-08002B2CF9AE}" pid="6" name="Google.Documents.Tracking">
    <vt:lpwstr>false</vt:lpwstr>
  </property>
</Properties>
</file>